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tateofwa-my.sharepoint.com/personal/debbie_dolgash_dcyf_wa_gov/Documents/_MigratedData/interdev/pdf/dcyf/"/>
    </mc:Choice>
  </mc:AlternateContent>
  <xr:revisionPtr revIDLastSave="0" documentId="8_{F0F1CAA3-016A-4070-9AE8-7F2510A833AF}" xr6:coauthVersionLast="47" xr6:coauthVersionMax="47" xr10:uidLastSave="{00000000-0000-0000-0000-000000000000}"/>
  <bookViews>
    <workbookView xWindow="1905" yWindow="1905" windowWidth="21600" windowHeight="11385" tabRatio="809" activeTab="4" xr2:uid="{EF466DF1-8C12-40A8-9297-0BE2100C90B9}"/>
  </bookViews>
  <sheets>
    <sheet name="Fee Table" sheetId="3" r:id="rId1"/>
    <sheet name="Fair Wages" sheetId="10" r:id="rId2"/>
    <sheet name="Ramp-up" sheetId="13" r:id="rId3"/>
    <sheet name="Start  Up" sheetId="5" r:id="rId4"/>
    <sheet name="Maximum FTE allowable" sheetId="4" r:id="rId5"/>
    <sheet name="FTE Planning" sheetId="14" r:id="rId6"/>
    <sheet name="Rate Assumption " sheetId="1" r:id="rId7"/>
    <sheet name="Per FTE cost" sheetId="2" r:id="rId8"/>
    <sheet name="Wages" sheetId="7" r:id="rId9"/>
    <sheet name="Updates" sheetId="9" r:id="rId10"/>
  </sheets>
  <definedNames>
    <definedName name="AdminFTE" localSheetId="1">#REF!</definedName>
    <definedName name="AdminFTE" localSheetId="2">#REF!</definedName>
    <definedName name="AdminFTE">#REF!</definedName>
    <definedName name="AdminHr" localSheetId="1">#REF!</definedName>
    <definedName name="AdminHr">#REF!</definedName>
    <definedName name="AdminHrs" localSheetId="1">#REF!</definedName>
    <definedName name="AdminHrs">#REF!</definedName>
    <definedName name="AdminOther" localSheetId="1">#REF!</definedName>
    <definedName name="AdminOther">#REF!</definedName>
    <definedName name="AdminRate" localSheetId="1">#REF!</definedName>
    <definedName name="AdminRate">#REF!</definedName>
    <definedName name="AvgMonthlyRent" localSheetId="1">#REF!</definedName>
    <definedName name="AvgMonthlyRent">#REF!</definedName>
    <definedName name="AvgRent" localSheetId="1">#REF!</definedName>
    <definedName name="AvgRent">#REF!</definedName>
    <definedName name="Beds" localSheetId="1">#REF!</definedName>
    <definedName name="Beds">#REF!</definedName>
    <definedName name="bedss" localSheetId="1">#REF!</definedName>
    <definedName name="bedss">#REF!</definedName>
    <definedName name="Benefits" localSheetId="1">#REF!</definedName>
    <definedName name="Benefits">#REF!</definedName>
    <definedName name="BenefitsCost" localSheetId="1">#REF!</definedName>
    <definedName name="BenefitsCost">#REF!</definedName>
    <definedName name="BOAssumption" localSheetId="1">#REF!</definedName>
    <definedName name="BOAssumption">#REF!</definedName>
    <definedName name="book" localSheetId="1">#REF!</definedName>
    <definedName name="book">#REF!</definedName>
    <definedName name="bookyr" localSheetId="1">#REF!</definedName>
    <definedName name="bookyr">#REF!</definedName>
    <definedName name="Clinical" localSheetId="1">#REF!</definedName>
    <definedName name="Clinical">#REF!</definedName>
    <definedName name="ClinicalFTE" localSheetId="1">#REF!</definedName>
    <definedName name="ClinicalFTE">#REF!</definedName>
    <definedName name="ClinicalHr" localSheetId="1">#REF!</definedName>
    <definedName name="ClinicalHr">#REF!</definedName>
    <definedName name="ClinicalHrs" localSheetId="1">#REF!</definedName>
    <definedName name="ClinicalHrs">#REF!</definedName>
    <definedName name="ClinicalRate" localSheetId="1">#REF!</definedName>
    <definedName name="ClinicalRate">#REF!</definedName>
    <definedName name="Clothing" localSheetId="1">#REF!</definedName>
    <definedName name="Clothing">#REF!</definedName>
    <definedName name="clothingyr" localSheetId="1">#REF!</definedName>
    <definedName name="clothingyr">#REF!</definedName>
    <definedName name="CommunityHr" localSheetId="1">#REF!</definedName>
    <definedName name="CommunityHr">#REF!</definedName>
    <definedName name="CompensationMonthly" localSheetId="1">#REF!</definedName>
    <definedName name="CompensationMonthly">#REF!</definedName>
    <definedName name="CompMonthly" localSheetId="1">#REF!</definedName>
    <definedName name="CompMonthly">#REF!</definedName>
    <definedName name="CompYear" localSheetId="1">#REF!</definedName>
    <definedName name="CompYear">#REF!</definedName>
    <definedName name="craft" localSheetId="1">#REF!</definedName>
    <definedName name="craft">#REF!</definedName>
    <definedName name="craftyr" localSheetId="1">#REF!</definedName>
    <definedName name="craftyr">#REF!</definedName>
    <definedName name="DATATYPEVal" localSheetId="1">#REF!</definedName>
    <definedName name="DATATYPEVal">#REF!</definedName>
    <definedName name="DayDirectFTE" localSheetId="1">#REF!</definedName>
    <definedName name="DayDirectFTE">#REF!</definedName>
    <definedName name="DayDirectHr" localSheetId="1">#REF!</definedName>
    <definedName name="DayDirectHr">#REF!</definedName>
    <definedName name="DayDirectHrs" localSheetId="1">#REF!</definedName>
    <definedName name="DayDirectHrs">#REF!</definedName>
    <definedName name="DayDirectStaff" localSheetId="1">#REF!</definedName>
    <definedName name="DayDirectStaff">#REF!</definedName>
    <definedName name="DirectCare" localSheetId="1">#REF!</definedName>
    <definedName name="DirectCare">#REF!</definedName>
    <definedName name="DirectCareCoverage" localSheetId="1">#REF!</definedName>
    <definedName name="DirectCareCoverage">#REF!</definedName>
    <definedName name="DirectCareFTE" localSheetId="1">#REF!</definedName>
    <definedName name="DirectCareFTE">#REF!</definedName>
    <definedName name="DirectCareHr" localSheetId="1">#REF!</definedName>
    <definedName name="DirectCareHr">#REF!</definedName>
    <definedName name="DirectCareHrs" localSheetId="1">#REF!</definedName>
    <definedName name="DirectCareHrs">#REF!</definedName>
    <definedName name="DirectCareSup" localSheetId="1">#REF!</definedName>
    <definedName name="DirectCareSup">#REF!</definedName>
    <definedName name="DirectCareSup2" localSheetId="1">#REF!</definedName>
    <definedName name="DirectCareSup2">#REF!</definedName>
    <definedName name="DirectorHrsPerMonth" localSheetId="1">#REF!</definedName>
    <definedName name="DirectorHrsPerMonth">#REF!</definedName>
    <definedName name="DirectorHrsPerMonths" localSheetId="1">#REF!</definedName>
    <definedName name="DirectorHrsPerMonths">#REF!</definedName>
    <definedName name="DirectorWage" localSheetId="1">#REF!</definedName>
    <definedName name="DirectorWage">#REF!</definedName>
    <definedName name="DirectorWagess" localSheetId="1">#REF!</definedName>
    <definedName name="DirectorWagess">#REF!</definedName>
    <definedName name="Edu" localSheetId="1">#REF!</definedName>
    <definedName name="Edu">#REF!</definedName>
    <definedName name="EducationMonthly" localSheetId="1">#REF!</definedName>
    <definedName name="EducationMonthly">#REF!</definedName>
    <definedName name="EducationMonthlys" localSheetId="1">#REF!</definedName>
    <definedName name="EducationMonthlys">#REF!</definedName>
    <definedName name="EduMonthly" localSheetId="1">#REF!</definedName>
    <definedName name="EduMonthly">#REF!</definedName>
    <definedName name="Edus" localSheetId="1">#REF!</definedName>
    <definedName name="Edus">#REF!</definedName>
    <definedName name="EmpAds" localSheetId="1">#REF!</definedName>
    <definedName name="EmpAds">#REF!</definedName>
    <definedName name="EmplymentAds" localSheetId="1">#REF!</definedName>
    <definedName name="EmplymentAds">#REF!</definedName>
    <definedName name="EmplymentAdss" localSheetId="1">#REF!</definedName>
    <definedName name="EmplymentAdss">#REF!</definedName>
    <definedName name="EmpsAdss" localSheetId="1">#REF!</definedName>
    <definedName name="EmpsAdss">#REF!</definedName>
    <definedName name="Exechr" localSheetId="1">#REF!</definedName>
    <definedName name="Exechr">#REF!</definedName>
    <definedName name="ExecHrs" localSheetId="1">#REF!</definedName>
    <definedName name="ExecHrs">#REF!</definedName>
    <definedName name="ExecManage" localSheetId="1">#REF!</definedName>
    <definedName name="ExecManage">#REF!</definedName>
    <definedName name="ExecManages" localSheetId="1">#REF!</definedName>
    <definedName name="ExecManages">#REF!</definedName>
    <definedName name="execmonthly" localSheetId="1">#REF!</definedName>
    <definedName name="execmonthly">#REF!</definedName>
    <definedName name="ExecNorthwest" localSheetId="1">#REF!</definedName>
    <definedName name="ExecNorthwest">#REF!</definedName>
    <definedName name="ExecNorthwests" localSheetId="1">#REF!</definedName>
    <definedName name="ExecNorthwests">#REF!</definedName>
    <definedName name="ExecRate" localSheetId="1">#REF!</definedName>
    <definedName name="ExecRate">#REF!</definedName>
    <definedName name="ExecRates" localSheetId="1">#REF!</definedName>
    <definedName name="ExecRates">#REF!</definedName>
    <definedName name="ExecSnowhomish" localSheetId="1">#REF!</definedName>
    <definedName name="ExecSnowhomish">#REF!</definedName>
    <definedName name="ExecSnowhomishs" localSheetId="1">#REF!</definedName>
    <definedName name="ExecSnowhomishs">#REF!</definedName>
    <definedName name="Fed" localSheetId="1">#REF!</definedName>
    <definedName name="Fed">#REF!</definedName>
    <definedName name="Feds" localSheetId="1">#REF!</definedName>
    <definedName name="Feds">#REF!</definedName>
    <definedName name="FedTax" localSheetId="1">#REF!</definedName>
    <definedName name="FedTax">#REF!</definedName>
    <definedName name="food" localSheetId="1">#REF!</definedName>
    <definedName name="food">#REF!</definedName>
    <definedName name="foodyr" localSheetId="1">#REF!</definedName>
    <definedName name="foodyr">#REF!</definedName>
    <definedName name="FTEDirector" localSheetId="1">#REF!</definedName>
    <definedName name="FTEDirector">#REF!</definedName>
    <definedName name="FTEDirectors" localSheetId="1">#REF!</definedName>
    <definedName name="FTEDirectors">#REF!</definedName>
    <definedName name="Funds" localSheetId="1">#REF!</definedName>
    <definedName name="Funds">#REF!</definedName>
    <definedName name="Insurance" localSheetId="1">#REF!</definedName>
    <definedName name="Insurance">#REF!</definedName>
    <definedName name="InsuranceYr" localSheetId="1">#REF!</definedName>
    <definedName name="InsuranceYr">#REF!</definedName>
    <definedName name="jobclassabrev">#REF!</definedName>
    <definedName name="Legal" localSheetId="1">#REF!</definedName>
    <definedName name="Legal">#REF!</definedName>
    <definedName name="LevelValidation" localSheetId="1">#REF!</definedName>
    <definedName name="LevelValidation">#REF!</definedName>
    <definedName name="License" localSheetId="1">#REF!</definedName>
    <definedName name="License">#REF!</definedName>
    <definedName name="LicenseCost" localSheetId="1">#REF!</definedName>
    <definedName name="LicenseCost">#REF!</definedName>
    <definedName name="List10" localSheetId="1">#REF!</definedName>
    <definedName name="List10">#REF!</definedName>
    <definedName name="list2" localSheetId="1">#REF!</definedName>
    <definedName name="list2" localSheetId="0">#REF!</definedName>
    <definedName name="list2" localSheetId="7">#REF!</definedName>
    <definedName name="list2" localSheetId="6">#REF!</definedName>
    <definedName name="list2">#REF!</definedName>
    <definedName name="list3" localSheetId="1">#REF!</definedName>
    <definedName name="list3" localSheetId="0">#REF!</definedName>
    <definedName name="list3" localSheetId="7">#REF!</definedName>
    <definedName name="list3" localSheetId="6">#REF!</definedName>
    <definedName name="list3">#REF!</definedName>
    <definedName name="List5" localSheetId="1">#REF!</definedName>
    <definedName name="List5">#REF!</definedName>
    <definedName name="list6" localSheetId="1">#REF!</definedName>
    <definedName name="list6">#REF!</definedName>
    <definedName name="MaintenanceMonthly" localSheetId="1">#REF!</definedName>
    <definedName name="MaintenanceMonthly">#REF!</definedName>
    <definedName name="MaintenanceMonthlys" localSheetId="1">#REF!</definedName>
    <definedName name="MaintenanceMonthlys">#REF!</definedName>
    <definedName name="MaintenanceYr" localSheetId="1">#REF!</definedName>
    <definedName name="MaintenanceYr">#REF!</definedName>
    <definedName name="MaintenanceYrs" localSheetId="1">#REF!</definedName>
    <definedName name="MaintenanceYrs">#REF!</definedName>
    <definedName name="Manage" localSheetId="1">#REF!</definedName>
    <definedName name="Manage">#REF!</definedName>
    <definedName name="ManageFTE" localSheetId="1">#REF!</definedName>
    <definedName name="ManageFTE">#REF!</definedName>
    <definedName name="ManageFTEs\" localSheetId="1">#REF!</definedName>
    <definedName name="ManageFTEs\">#REF!</definedName>
    <definedName name="ManageHrsMonth" localSheetId="1">#REF!</definedName>
    <definedName name="ManageHrsMonth">#REF!</definedName>
    <definedName name="ManageHrsMonths" localSheetId="1">#REF!</definedName>
    <definedName name="ManageHrsMonths">#REF!</definedName>
    <definedName name="ManageRate" localSheetId="1">#REF!</definedName>
    <definedName name="ManageRate">#REF!</definedName>
    <definedName name="ManageRates" localSheetId="1">#REF!</definedName>
    <definedName name="ManageRates">#REF!</definedName>
    <definedName name="ManagerHr" localSheetId="1">#REF!</definedName>
    <definedName name="ManagerHr">#REF!</definedName>
    <definedName name="Manages" localSheetId="1">#REF!</definedName>
    <definedName name="Manages">#REF!</definedName>
    <definedName name="ManagesFTEs" localSheetId="1">#REF!</definedName>
    <definedName name="ManagesFTEs">#REF!</definedName>
    <definedName name="ManagesFTEs\s" localSheetId="1">#REF!</definedName>
    <definedName name="ManagesFTEs\s">#REF!</definedName>
    <definedName name="Marketing" localSheetId="1">#REF!</definedName>
    <definedName name="Marketing">#REF!</definedName>
    <definedName name="Med" localSheetId="1">#REF!</definedName>
    <definedName name="Med">#REF!</definedName>
    <definedName name="MedAssistants" localSheetId="1">#REF!</definedName>
    <definedName name="MedAssistants">#REF!</definedName>
    <definedName name="MedAssitants" localSheetId="1">#REF!</definedName>
    <definedName name="MedAssitants">#REF!</definedName>
    <definedName name="MedHrs" localSheetId="1">#REF!</definedName>
    <definedName name="MedHrs">#REF!</definedName>
    <definedName name="medicalequipment" localSheetId="1">#REF!</definedName>
    <definedName name="medicalequipment">#REF!</definedName>
    <definedName name="MedRate" localSheetId="1">#REF!</definedName>
    <definedName name="MedRate">#REF!</definedName>
    <definedName name="Meds" localSheetId="1">#REF!</definedName>
    <definedName name="Meds">#REF!</definedName>
    <definedName name="medyrcost" localSheetId="1">#REF!</definedName>
    <definedName name="medyrcost">#REF!</definedName>
    <definedName name="Office" localSheetId="1">#REF!</definedName>
    <definedName name="Office">#REF!</definedName>
    <definedName name="OfficeYr" localSheetId="1">#REF!</definedName>
    <definedName name="OfficeYr">#REF!</definedName>
    <definedName name="OvernightFTE" localSheetId="1">#REF!</definedName>
    <definedName name="OvernightFTE">#REF!</definedName>
    <definedName name="OvernightHr" localSheetId="1">#REF!</definedName>
    <definedName name="OvernightHr">#REF!</definedName>
    <definedName name="OvernightStaff" localSheetId="1">#REF!</definedName>
    <definedName name="OvernightStaff">#REF!</definedName>
    <definedName name="OvernightStaffHrs" localSheetId="1">#REF!</definedName>
    <definedName name="OvernightStaffHrs">#REF!</definedName>
    <definedName name="Payroll" localSheetId="1">#REF!</definedName>
    <definedName name="Payroll">#REF!</definedName>
    <definedName name="PayTax" localSheetId="1">#REF!</definedName>
    <definedName name="PayTax">#REF!</definedName>
    <definedName name="PDHrs" localSheetId="1">#REF!</definedName>
    <definedName name="PDHrs">#REF!</definedName>
    <definedName name="PdHrsMonth" localSheetId="1">#REF!</definedName>
    <definedName name="PdHrsMonth">#REF!</definedName>
    <definedName name="PrintedMat" localSheetId="1">#REF!</definedName>
    <definedName name="PrintedMat">#REF!</definedName>
    <definedName name="profyr" localSheetId="1">#REF!</definedName>
    <definedName name="profyr">#REF!</definedName>
    <definedName name="ProgramDirector" localSheetId="1">#REF!</definedName>
    <definedName name="ProgramDirector">#REF!</definedName>
    <definedName name="ReliefHr" localSheetId="1">#REF!</definedName>
    <definedName name="ReliefHr">#REF!</definedName>
    <definedName name="Rent" localSheetId="1">#REF!</definedName>
    <definedName name="Rent">#REF!</definedName>
    <definedName name="Repairs" localSheetId="1">#REF!</definedName>
    <definedName name="Repairs">#REF!</definedName>
    <definedName name="RepairsYr" localSheetId="1">#REF!</definedName>
    <definedName name="RepairsYr">#REF!</definedName>
    <definedName name="Revenue" localSheetId="1">#REF!</definedName>
    <definedName name="Revenue">#REF!</definedName>
    <definedName name="SqfeetpriceCOLI" localSheetId="1">#REF!</definedName>
    <definedName name="SqfeetpriceCOLI">#REF!</definedName>
    <definedName name="SqFtPrice" localSheetId="1">#REF!</definedName>
    <definedName name="SqFtPrice">#REF!</definedName>
    <definedName name="SqrFt" localSheetId="1">#REF!</definedName>
    <definedName name="SqrFt">#REF!</definedName>
    <definedName name="ss" localSheetId="1">#REF!</definedName>
    <definedName name="ss">#REF!</definedName>
    <definedName name="SupervisorHrs" localSheetId="1">#REF!</definedName>
    <definedName name="SupervisorHrs">#REF!</definedName>
    <definedName name="SupervisorRate" localSheetId="1">#REF!</definedName>
    <definedName name="SupervisorRate">#REF!</definedName>
    <definedName name="TotalMarket" localSheetId="1">#REF!</definedName>
    <definedName name="TotalMarket">#REF!</definedName>
    <definedName name="TotalMarketCost" localSheetId="1">#REF!</definedName>
    <definedName name="TotalMarketCost">#REF!</definedName>
    <definedName name="TotalWageCostYr" localSheetId="1">#REF!</definedName>
    <definedName name="TotalWageCostYr">#REF!</definedName>
    <definedName name="TotalWageMonthly" localSheetId="1">#REF!</definedName>
    <definedName name="TotalWageMonthly">#REF!</definedName>
    <definedName name="TypeValidation" localSheetId="1">#REF!</definedName>
    <definedName name="TypeValidation">#REF!</definedName>
    <definedName name="Utilities" localSheetId="1">#REF!</definedName>
    <definedName name="Utilities">#REF!</definedName>
    <definedName name="UtilitiesYr" localSheetId="1">#REF!</definedName>
    <definedName name="UtilitiesYr">#REF!</definedName>
    <definedName name="Vehicle" localSheetId="1">#REF!</definedName>
    <definedName name="Vehicle">#REF!</definedName>
    <definedName name="VehicleYr" localSheetId="1">#REF!</definedName>
    <definedName name="VehicleYr">#REF!</definedName>
    <definedName name="W_A_B_O_" localSheetId="1">#REF!</definedName>
    <definedName name="W_A_B_O_">#REF!</definedName>
    <definedName name="WA_B_O_Taxs" localSheetId="1">#REF!</definedName>
    <definedName name="WA_B_O_Taxs">#REF!</definedName>
    <definedName name="WA_BO_Tax" localSheetId="1">#REF!</definedName>
    <definedName name="WA_BO_Tax">#REF!</definedName>
    <definedName name="WA_BO_Taxes" localSheetId="1">#REF!</definedName>
    <definedName name="WA_BO_Taxes">#REF!</definedName>
    <definedName name="WABO" localSheetId="1">#REF!</definedName>
    <definedName name="WABO">#REF!</definedName>
    <definedName name="WABOTax" localSheetId="1">#REF!</definedName>
    <definedName name="WABOTax">#REF!</definedName>
    <definedName name="Washington_B_O_Tax" localSheetId="1">#REF!</definedName>
    <definedName name="Washington_B_O_Tax">#REF!</definedName>
    <definedName name="YrsEdu" localSheetId="1">#REF!</definedName>
    <definedName name="YrsEd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4" l="1"/>
  <c r="T11" i="4" a="1"/>
  <c r="T11" i="4" s="1"/>
  <c r="T10" i="4"/>
  <c r="S11" i="4" a="1"/>
  <c r="S11" i="4" s="1"/>
  <c r="S10" i="4"/>
  <c r="R11" i="4" a="1"/>
  <c r="R11" i="4"/>
  <c r="R10" i="4"/>
  <c r="Q11" i="4" a="1"/>
  <c r="Q11" i="4" s="1"/>
  <c r="Q10" i="4"/>
  <c r="P11" i="4" a="1"/>
  <c r="P11" i="4"/>
  <c r="P10" i="4"/>
  <c r="O11" i="4" a="1"/>
  <c r="O11" i="4"/>
  <c r="O10" i="4"/>
  <c r="N11" i="4" a="1"/>
  <c r="N11" i="4"/>
  <c r="N10" i="4"/>
  <c r="M11" i="4" a="1"/>
  <c r="M11" i="4" s="1"/>
  <c r="M10" i="4"/>
  <c r="L11" i="4" a="1"/>
  <c r="L11" i="4"/>
  <c r="L10" i="4"/>
  <c r="K11" i="4" a="1"/>
  <c r="K11" i="4"/>
  <c r="K10" i="4"/>
  <c r="J11" i="4" a="1"/>
  <c r="J11" i="4"/>
  <c r="J10" i="4"/>
  <c r="I11" i="4" a="1"/>
  <c r="I11" i="4"/>
  <c r="I10" i="4"/>
  <c r="H11" i="4" a="1"/>
  <c r="H11" i="4" s="1"/>
  <c r="H10" i="4"/>
  <c r="G11" i="4" a="1"/>
  <c r="G11" i="4" s="1"/>
  <c r="F37" i="4" l="1"/>
  <c r="F38" i="4"/>
  <c r="F39" i="4"/>
  <c r="F40" i="4"/>
  <c r="F41" i="4"/>
  <c r="F42" i="4"/>
  <c r="F36" i="4"/>
  <c r="Q41" i="5" l="1"/>
  <c r="Q42" i="5" s="1"/>
  <c r="M41" i="5"/>
  <c r="M42" i="5" s="1"/>
  <c r="M57" i="5"/>
  <c r="R71" i="5"/>
  <c r="R57" i="5"/>
  <c r="R41" i="5"/>
  <c r="R42" i="5" s="1"/>
  <c r="O57" i="5"/>
  <c r="O58" i="5" s="1"/>
  <c r="N57" i="5"/>
  <c r="O41" i="5"/>
  <c r="O42" i="5" s="1"/>
  <c r="M58" i="5"/>
  <c r="N58" i="5"/>
  <c r="N41" i="5"/>
  <c r="N42" i="5" s="1"/>
  <c r="M71" i="5"/>
  <c r="M72" i="5" s="1"/>
  <c r="N71" i="5"/>
  <c r="N72" i="5" s="1"/>
  <c r="O71" i="5"/>
  <c r="O72" i="5" s="1"/>
  <c r="R72" i="5"/>
  <c r="Q57" i="5"/>
  <c r="Q58" i="5" s="1"/>
  <c r="R58" i="5"/>
  <c r="Q71" i="5"/>
  <c r="Q72" i="5" s="1"/>
  <c r="J98" i="3" l="1"/>
  <c r="G17" i="13" l="1"/>
  <c r="N17" i="13"/>
  <c r="Q17" i="13"/>
  <c r="P17" i="13"/>
  <c r="F17" i="13"/>
  <c r="K17" i="13"/>
  <c r="O17" i="13"/>
  <c r="H17" i="13"/>
  <c r="D17" i="13"/>
  <c r="L17" i="13"/>
  <c r="M17" i="13"/>
  <c r="E17" i="13"/>
  <c r="I17" i="13"/>
  <c r="J17" i="13"/>
  <c r="N44" i="14" l="1"/>
  <c r="N43" i="14"/>
  <c r="N45" i="14"/>
  <c r="N47" i="14"/>
  <c r="N46" i="14"/>
  <c r="N48" i="14"/>
  <c r="N42" i="14"/>
  <c r="M43" i="14"/>
  <c r="M45" i="14"/>
  <c r="M46" i="14"/>
  <c r="M47" i="14"/>
  <c r="M44" i="14"/>
  <c r="M48" i="14"/>
  <c r="M42" i="14"/>
  <c r="K43" i="14"/>
  <c r="K45" i="14"/>
  <c r="K47" i="14"/>
  <c r="K48" i="14"/>
  <c r="K42" i="14"/>
  <c r="K44" i="14"/>
  <c r="K46" i="14"/>
  <c r="F42" i="14"/>
  <c r="F44" i="14"/>
  <c r="F46" i="14"/>
  <c r="F48" i="14"/>
  <c r="F47" i="14"/>
  <c r="F43" i="14"/>
  <c r="F45" i="14"/>
  <c r="E46" i="14"/>
  <c r="E47" i="14"/>
  <c r="E48" i="14"/>
  <c r="E42" i="14"/>
  <c r="E43" i="14"/>
  <c r="E44" i="14"/>
  <c r="E45" i="14"/>
  <c r="I43" i="14"/>
  <c r="I45" i="14"/>
  <c r="I47" i="14"/>
  <c r="I42" i="14"/>
  <c r="I46" i="14"/>
  <c r="I44" i="14"/>
  <c r="I48" i="14"/>
  <c r="P44" i="14"/>
  <c r="P43" i="14"/>
  <c r="P45" i="14"/>
  <c r="P47" i="14"/>
  <c r="P42" i="14"/>
  <c r="P48" i="14"/>
  <c r="P46" i="14"/>
  <c r="L43" i="14"/>
  <c r="L45" i="14"/>
  <c r="L47" i="14"/>
  <c r="L44" i="14"/>
  <c r="L46" i="14"/>
  <c r="L48" i="14"/>
  <c r="L42" i="14"/>
  <c r="G42" i="14"/>
  <c r="G44" i="14"/>
  <c r="G46" i="14"/>
  <c r="G48" i="14"/>
  <c r="G47" i="14"/>
  <c r="G43" i="14"/>
  <c r="G45" i="14"/>
  <c r="Q46" i="14"/>
  <c r="Q43" i="14"/>
  <c r="Q45" i="14"/>
  <c r="Q47" i="14"/>
  <c r="Q48" i="14"/>
  <c r="Q44" i="14"/>
  <c r="Q42" i="14"/>
  <c r="J43" i="14"/>
  <c r="J45" i="14"/>
  <c r="J47" i="14"/>
  <c r="J46" i="14"/>
  <c r="J44" i="14"/>
  <c r="J48" i="14"/>
  <c r="J42" i="14"/>
  <c r="R42" i="14"/>
  <c r="R44" i="14"/>
  <c r="R43" i="14"/>
  <c r="R45" i="14"/>
  <c r="R46" i="14"/>
  <c r="R47" i="14"/>
  <c r="R48" i="14"/>
  <c r="O48" i="14"/>
  <c r="O43" i="14"/>
  <c r="O45" i="14"/>
  <c r="O47" i="14"/>
  <c r="O44" i="14"/>
  <c r="O46" i="14"/>
  <c r="O42" i="14"/>
  <c r="H46" i="14"/>
  <c r="H43" i="14"/>
  <c r="H42" i="14"/>
  <c r="H44" i="14"/>
  <c r="H48" i="14"/>
  <c r="H47" i="14"/>
  <c r="H45" i="14"/>
  <c r="D21" i="14" l="1" a="1"/>
  <c r="D21" i="14" s="1"/>
  <c r="G22" i="14" a="1"/>
  <c r="G22" i="14" s="1"/>
  <c r="C29" i="2"/>
  <c r="F22" i="14" l="1" a="1"/>
  <c r="F22" i="14" s="1"/>
  <c r="M22" i="14" a="1"/>
  <c r="M22" i="14" s="1"/>
  <c r="K22" i="14" a="1"/>
  <c r="K22" i="14" s="1"/>
  <c r="L22" i="14" a="1"/>
  <c r="L22" i="14" s="1"/>
  <c r="J22" i="14" a="1"/>
  <c r="J22" i="14" s="1"/>
  <c r="I22" i="14" a="1"/>
  <c r="I22" i="14" s="1"/>
  <c r="H22" i="14" a="1"/>
  <c r="H22" i="14" s="1"/>
  <c r="E22" i="14" a="1"/>
  <c r="E22" i="14" s="1"/>
  <c r="D22" i="14" a="1"/>
  <c r="D22" i="14" s="1"/>
  <c r="Q22" i="14" a="1"/>
  <c r="Q22" i="14" s="1"/>
  <c r="P22" i="14" a="1"/>
  <c r="P22" i="14" s="1"/>
  <c r="O22" i="14" a="1"/>
  <c r="O22" i="14" s="1"/>
  <c r="N22" i="14" a="1"/>
  <c r="N22" i="14" s="1"/>
  <c r="H28" i="14" l="1"/>
  <c r="N21" i="14" a="1"/>
  <c r="N21" i="14" s="1"/>
  <c r="N26" i="14" s="1"/>
  <c r="Q20" i="13"/>
  <c r="O20" i="13"/>
  <c r="Q19" i="13"/>
  <c r="O19" i="13"/>
  <c r="M21" i="13" a="1"/>
  <c r="M21" i="13" s="1"/>
  <c r="M24" i="13" s="1"/>
  <c r="O18" i="13"/>
  <c r="E21" i="13" a="1"/>
  <c r="E21" i="13" s="1"/>
  <c r="E24" i="13" s="1"/>
  <c r="D21" i="13" a="1"/>
  <c r="D21" i="13" s="1"/>
  <c r="D24" i="13" s="1"/>
  <c r="D9" i="13"/>
  <c r="M20" i="10"/>
  <c r="L20" i="10"/>
  <c r="M19" i="10"/>
  <c r="L19" i="10"/>
  <c r="M18" i="10"/>
  <c r="L18" i="10"/>
  <c r="M17" i="10"/>
  <c r="L17" i="10"/>
  <c r="M16" i="10"/>
  <c r="L16" i="10"/>
  <c r="M15" i="10"/>
  <c r="L15" i="10"/>
  <c r="M14" i="10"/>
  <c r="L14" i="10"/>
  <c r="M13" i="10"/>
  <c r="L13" i="10"/>
  <c r="M12" i="10"/>
  <c r="L12" i="10"/>
  <c r="M11" i="10"/>
  <c r="L11" i="10"/>
  <c r="M10" i="10"/>
  <c r="L10" i="10"/>
  <c r="M9" i="10"/>
  <c r="L9" i="10"/>
  <c r="E10" i="10"/>
  <c r="E11" i="10"/>
  <c r="E12" i="10"/>
  <c r="E13" i="10"/>
  <c r="E14" i="10"/>
  <c r="E15" i="10"/>
  <c r="E16" i="10"/>
  <c r="E17" i="10"/>
  <c r="E18" i="10"/>
  <c r="E19" i="10"/>
  <c r="E20" i="10"/>
  <c r="E9" i="10"/>
  <c r="D10" i="10"/>
  <c r="D11" i="10"/>
  <c r="D12" i="10"/>
  <c r="D13" i="10"/>
  <c r="D14" i="10"/>
  <c r="D15" i="10"/>
  <c r="D16" i="10"/>
  <c r="D17" i="10"/>
  <c r="D18" i="10"/>
  <c r="D19" i="10"/>
  <c r="D20" i="10"/>
  <c r="D9" i="10"/>
  <c r="F21" i="13" l="1" a="1"/>
  <c r="F21" i="13" s="1"/>
  <c r="F24" i="13" s="1"/>
  <c r="H21" i="13" a="1"/>
  <c r="H21" i="13" s="1"/>
  <c r="H24" i="13" s="1"/>
  <c r="G21" i="13" a="1"/>
  <c r="G21" i="13" s="1"/>
  <c r="G24" i="13" s="1"/>
  <c r="L21" i="13" a="1"/>
  <c r="L21" i="13" s="1"/>
  <c r="L24" i="13" s="1"/>
  <c r="I21" i="13" a="1"/>
  <c r="I21" i="13" s="1"/>
  <c r="I24" i="13" s="1"/>
  <c r="D12" i="13" s="1"/>
  <c r="P21" i="13" a="1"/>
  <c r="P21" i="13" s="1"/>
  <c r="P24" i="13" s="1"/>
  <c r="J21" i="13" a="1"/>
  <c r="J21" i="13" s="1"/>
  <c r="J24" i="13" s="1"/>
  <c r="K21" i="13" a="1"/>
  <c r="K21" i="13" s="1"/>
  <c r="K24" i="13" s="1"/>
  <c r="Q21" i="14" a="1"/>
  <c r="Q21" i="14" s="1"/>
  <c r="Q27" i="14" s="1"/>
  <c r="P21" i="14" a="1"/>
  <c r="P21" i="14" s="1"/>
  <c r="P24" i="14" s="1"/>
  <c r="P25" i="14" s="1"/>
  <c r="P28" i="14" s="1"/>
  <c r="E21" i="14" a="1"/>
  <c r="E21" i="14" s="1"/>
  <c r="E24" i="14" s="1"/>
  <c r="E25" i="14" s="1"/>
  <c r="E28" i="14" s="1"/>
  <c r="F21" i="14" a="1"/>
  <c r="F21" i="14" s="1"/>
  <c r="F26" i="14" s="1"/>
  <c r="O21" i="14" a="1"/>
  <c r="O21" i="14" s="1"/>
  <c r="O26" i="14" s="1"/>
  <c r="H21" i="14" a="1"/>
  <c r="H21" i="14" s="1"/>
  <c r="I21" i="14" a="1"/>
  <c r="I21" i="14" s="1"/>
  <c r="I26" i="14" s="1"/>
  <c r="J21" i="14" a="1"/>
  <c r="J21" i="14" s="1"/>
  <c r="J26" i="14" s="1"/>
  <c r="N29" i="14"/>
  <c r="K21" i="14" a="1"/>
  <c r="K21" i="14" s="1"/>
  <c r="K24" i="14" s="1"/>
  <c r="K25" i="14" s="1"/>
  <c r="K28" i="14" s="1"/>
  <c r="G21" i="14" a="1"/>
  <c r="G21" i="14" s="1"/>
  <c r="G26" i="14" s="1"/>
  <c r="L21" i="14" a="1"/>
  <c r="L21" i="14" s="1"/>
  <c r="L24" i="14" s="1"/>
  <c r="L25" i="14" s="1"/>
  <c r="L28" i="14" s="1"/>
  <c r="M21" i="14" a="1"/>
  <c r="M21" i="14" s="1"/>
  <c r="M24" i="14" s="1"/>
  <c r="M25" i="14" s="1"/>
  <c r="M28" i="14" s="1"/>
  <c r="N27" i="14"/>
  <c r="N24" i="14"/>
  <c r="N25" i="14" s="1"/>
  <c r="N28" i="14" s="1"/>
  <c r="O21" i="13" a="1"/>
  <c r="O21" i="13" s="1"/>
  <c r="O24" i="13" s="1"/>
  <c r="N21" i="13" a="1"/>
  <c r="N21" i="13" s="1"/>
  <c r="N24" i="13" s="1"/>
  <c r="Q18" i="13"/>
  <c r="Q21" i="13" s="1" a="1"/>
  <c r="Q21" i="13" s="1"/>
  <c r="Q24" i="13" s="1"/>
  <c r="P27" i="14" l="1"/>
  <c r="Q24" i="14"/>
  <c r="Q25" i="14" s="1"/>
  <c r="Q28" i="14" s="1"/>
  <c r="E27" i="14"/>
  <c r="F29" i="14"/>
  <c r="F27" i="14"/>
  <c r="O27" i="14"/>
  <c r="O29" i="14"/>
  <c r="O24" i="14"/>
  <c r="O25" i="14" s="1"/>
  <c r="O28" i="14" s="1"/>
  <c r="D24" i="14"/>
  <c r="D25" i="14" s="1"/>
  <c r="D28" i="14" s="1"/>
  <c r="J29" i="14"/>
  <c r="M27" i="14"/>
  <c r="I29" i="14"/>
  <c r="K29" i="14"/>
  <c r="F24" i="14"/>
  <c r="F25" i="14" s="1"/>
  <c r="F28" i="14" s="1"/>
  <c r="J24" i="14"/>
  <c r="J25" i="14" s="1"/>
  <c r="J28" i="14" s="1"/>
  <c r="L29" i="14"/>
  <c r="H26" i="14"/>
  <c r="H29" i="14"/>
  <c r="M26" i="14"/>
  <c r="M29" i="14"/>
  <c r="G24" i="14"/>
  <c r="G25" i="14" s="1"/>
  <c r="G28" i="14" s="1"/>
  <c r="E29" i="14"/>
  <c r="E26" i="14"/>
  <c r="L26" i="14"/>
  <c r="L27" i="14"/>
  <c r="G27" i="14"/>
  <c r="D29" i="14"/>
  <c r="D26" i="14"/>
  <c r="D27" i="14"/>
  <c r="G29" i="14"/>
  <c r="I24" i="14"/>
  <c r="I25" i="14" s="1"/>
  <c r="I28" i="14" s="1"/>
  <c r="J27" i="14"/>
  <c r="P26" i="14"/>
  <c r="P29" i="14"/>
  <c r="K26" i="14"/>
  <c r="K27" i="14"/>
  <c r="I27" i="14"/>
  <c r="Q26" i="14"/>
  <c r="Q29" i="14"/>
  <c r="I66" i="5" l="1"/>
  <c r="I67" i="5"/>
  <c r="I68" i="5"/>
  <c r="I36" i="5"/>
  <c r="I53" i="5"/>
  <c r="I54" i="5"/>
  <c r="I52" i="5"/>
  <c r="G7" i="7" l="1"/>
  <c r="H7" i="7" s="1"/>
  <c r="G8" i="7"/>
  <c r="H8" i="7" s="1"/>
  <c r="G9" i="7"/>
  <c r="H9" i="7" s="1"/>
  <c r="G10" i="7"/>
  <c r="H10" i="7" s="1"/>
  <c r="G11" i="7"/>
  <c r="H11" i="7" s="1"/>
  <c r="G12" i="7"/>
  <c r="H12" i="7" s="1"/>
  <c r="G13" i="7"/>
  <c r="H13" i="7" s="1"/>
  <c r="G14" i="7"/>
  <c r="H14" i="7" s="1"/>
  <c r="G15" i="7"/>
  <c r="H15" i="7" s="1"/>
  <c r="G16" i="7"/>
  <c r="H16" i="7"/>
  <c r="G17" i="7"/>
  <c r="H17" i="7" s="1"/>
  <c r="G6" i="7"/>
  <c r="H6" i="7" s="1"/>
  <c r="D42" i="3" l="1"/>
  <c r="G15" i="4" l="1"/>
  <c r="H42" i="3"/>
  <c r="J42" i="3"/>
  <c r="D39" i="3"/>
  <c r="E39" i="3"/>
  <c r="F39" i="3"/>
  <c r="G39" i="3"/>
  <c r="H39" i="3"/>
  <c r="I39" i="3"/>
  <c r="J39" i="3"/>
  <c r="K39" i="3"/>
  <c r="L39" i="3"/>
  <c r="M39" i="3"/>
  <c r="N39" i="3"/>
  <c r="O39" i="3"/>
  <c r="P39" i="3"/>
  <c r="Q39" i="3"/>
  <c r="I15" i="4" l="1"/>
  <c r="F42" i="3"/>
  <c r="H16" i="4"/>
  <c r="E42" i="3"/>
  <c r="T16" i="4"/>
  <c r="Q42" i="3"/>
  <c r="S16" i="4"/>
  <c r="P42" i="3"/>
  <c r="R15" i="4"/>
  <c r="O42" i="3"/>
  <c r="Q18" i="4"/>
  <c r="N42" i="3"/>
  <c r="P18" i="4"/>
  <c r="M42" i="3"/>
  <c r="O18" i="4"/>
  <c r="L42" i="3"/>
  <c r="N15" i="4"/>
  <c r="K42" i="3"/>
  <c r="L15" i="4"/>
  <c r="I42" i="3"/>
  <c r="J15" i="4"/>
  <c r="G42" i="3"/>
  <c r="T18" i="4"/>
  <c r="T15" i="4"/>
  <c r="N18" i="4"/>
  <c r="N13" i="4"/>
  <c r="G18" i="4"/>
  <c r="N16" i="4"/>
  <c r="P16" i="4"/>
  <c r="G16" i="4"/>
  <c r="P13" i="4"/>
  <c r="R13" i="4"/>
  <c r="J13" i="4"/>
  <c r="G13" i="4"/>
  <c r="R18" i="4"/>
  <c r="R16" i="4"/>
  <c r="Q16" i="4"/>
  <c r="K17" i="4"/>
  <c r="O15" i="4"/>
  <c r="O16" i="4"/>
  <c r="L13" i="4"/>
  <c r="Q13" i="4"/>
  <c r="M13" i="4"/>
  <c r="O13" i="4"/>
  <c r="L18" i="4"/>
  <c r="K18" i="4"/>
  <c r="J18" i="4"/>
  <c r="M18" i="4"/>
  <c r="J16" i="4"/>
  <c r="H15" i="4"/>
  <c r="I13" i="4"/>
  <c r="H13" i="4"/>
  <c r="H18" i="4"/>
  <c r="I16" i="4"/>
  <c r="I18" i="4"/>
  <c r="M16" i="4"/>
  <c r="L16" i="4"/>
  <c r="S15" i="4"/>
  <c r="Q15" i="4"/>
  <c r="P15" i="4"/>
  <c r="T13" i="4"/>
  <c r="S13" i="4"/>
  <c r="S18" i="4"/>
  <c r="M15" i="4"/>
  <c r="G16" i="5"/>
  <c r="F11" i="5"/>
  <c r="G10" i="5"/>
  <c r="G9" i="5"/>
  <c r="G11" i="5" l="1"/>
  <c r="I65" i="5" s="1"/>
  <c r="I51" i="5"/>
  <c r="H53" i="5"/>
  <c r="H67" i="5"/>
  <c r="J67" i="5"/>
  <c r="J53" i="5"/>
  <c r="P56" i="5"/>
  <c r="P70" i="5"/>
  <c r="J54" i="5"/>
  <c r="J68" i="5"/>
  <c r="J56" i="5"/>
  <c r="J70" i="5"/>
  <c r="L53" i="5"/>
  <c r="L67" i="5"/>
  <c r="G70" i="5"/>
  <c r="G56" i="5"/>
  <c r="G54" i="5"/>
  <c r="G68" i="5"/>
  <c r="I39" i="5"/>
  <c r="I69" i="5"/>
  <c r="I55" i="5"/>
  <c r="H54" i="5"/>
  <c r="H68" i="5"/>
  <c r="P54" i="5"/>
  <c r="P68" i="5"/>
  <c r="P67" i="5"/>
  <c r="P53" i="5"/>
  <c r="L54" i="5"/>
  <c r="L68" i="5"/>
  <c r="L70" i="5"/>
  <c r="L56" i="5"/>
  <c r="H56" i="5"/>
  <c r="H70" i="5"/>
  <c r="I56" i="5"/>
  <c r="I70" i="5"/>
  <c r="G67" i="5"/>
  <c r="G53" i="5"/>
  <c r="P14" i="4"/>
  <c r="M14" i="4"/>
  <c r="S14" i="4"/>
  <c r="I14" i="4"/>
  <c r="G51" i="5"/>
  <c r="G65" i="5"/>
  <c r="Q14" i="4"/>
  <c r="N14" i="4"/>
  <c r="L51" i="5"/>
  <c r="L65" i="5"/>
  <c r="L14" i="4"/>
  <c r="J65" i="5"/>
  <c r="J51" i="5"/>
  <c r="T14" i="4"/>
  <c r="J14" i="4"/>
  <c r="H65" i="5"/>
  <c r="H51" i="5"/>
  <c r="R14" i="4"/>
  <c r="P65" i="5"/>
  <c r="P51" i="5"/>
  <c r="H14" i="4"/>
  <c r="O14" i="4"/>
  <c r="G14" i="4"/>
  <c r="I17" i="4" l="1"/>
  <c r="G52" i="5"/>
  <c r="G36" i="5"/>
  <c r="G66" i="5"/>
  <c r="N17" i="4"/>
  <c r="L36" i="5"/>
  <c r="L52" i="5"/>
  <c r="L66" i="5"/>
  <c r="S17" i="4"/>
  <c r="R17" i="4"/>
  <c r="P36" i="5"/>
  <c r="P66" i="5"/>
  <c r="P52" i="5"/>
  <c r="M17" i="4"/>
  <c r="T17" i="4"/>
  <c r="Q17" i="4"/>
  <c r="H17" i="4"/>
  <c r="L17" i="4"/>
  <c r="J52" i="5"/>
  <c r="J66" i="5"/>
  <c r="J36" i="5"/>
  <c r="O17" i="4"/>
  <c r="J17" i="4"/>
  <c r="H52" i="5"/>
  <c r="H36" i="5"/>
  <c r="H66" i="5"/>
  <c r="P17" i="4"/>
  <c r="G17" i="4"/>
  <c r="C48" i="2"/>
  <c r="P64" i="5"/>
  <c r="L64" i="5"/>
  <c r="J64" i="5"/>
  <c r="I64" i="5"/>
  <c r="H64" i="5"/>
  <c r="G64" i="5"/>
  <c r="P63" i="5"/>
  <c r="L63" i="5"/>
  <c r="I63" i="5"/>
  <c r="H63" i="5"/>
  <c r="G63" i="5"/>
  <c r="C9" i="2"/>
  <c r="C6" i="2"/>
  <c r="C68" i="1"/>
  <c r="C66" i="1"/>
  <c r="C45" i="2" s="1"/>
  <c r="C18" i="1"/>
  <c r="D17" i="1"/>
  <c r="D16" i="1"/>
  <c r="D15" i="1"/>
  <c r="N18" i="10" l="1"/>
  <c r="O18" i="10" s="1"/>
  <c r="N10" i="10"/>
  <c r="O10" i="10" s="1"/>
  <c r="N16" i="10"/>
  <c r="O16" i="10" s="1"/>
  <c r="F10" i="10"/>
  <c r="G10" i="10" s="1"/>
  <c r="F11" i="10"/>
  <c r="G11" i="10" s="1"/>
  <c r="N15" i="10"/>
  <c r="O15" i="10" s="1"/>
  <c r="F12" i="10"/>
  <c r="G12" i="10" s="1"/>
  <c r="F13" i="10"/>
  <c r="G13" i="10" s="1"/>
  <c r="F14" i="10"/>
  <c r="G14" i="10" s="1"/>
  <c r="N12" i="10"/>
  <c r="O12" i="10" s="1"/>
  <c r="N19" i="10"/>
  <c r="O19" i="10" s="1"/>
  <c r="N14" i="10"/>
  <c r="O14" i="10" s="1"/>
  <c r="F15" i="10"/>
  <c r="G15" i="10" s="1"/>
  <c r="F17" i="10"/>
  <c r="G17" i="10" s="1"/>
  <c r="N13" i="10"/>
  <c r="O13" i="10" s="1"/>
  <c r="F18" i="10"/>
  <c r="G18" i="10" s="1"/>
  <c r="F19" i="10"/>
  <c r="G19" i="10" s="1"/>
  <c r="F20" i="10"/>
  <c r="G20" i="10" s="1"/>
  <c r="N17" i="10"/>
  <c r="O17" i="10" s="1"/>
  <c r="F16" i="10"/>
  <c r="G16" i="10" s="1"/>
  <c r="F9" i="10"/>
  <c r="G9" i="10" s="1"/>
  <c r="N9" i="10"/>
  <c r="O9" i="10" s="1"/>
  <c r="N20" i="10"/>
  <c r="O20" i="10" s="1"/>
  <c r="N11" i="10"/>
  <c r="O11" i="10" s="1"/>
  <c r="H55" i="5"/>
  <c r="H69" i="5"/>
  <c r="H39" i="5"/>
  <c r="J55" i="5"/>
  <c r="J39" i="5"/>
  <c r="J69" i="5"/>
  <c r="L55" i="5"/>
  <c r="L39" i="5"/>
  <c r="L69" i="5"/>
  <c r="P55" i="5"/>
  <c r="P69" i="5"/>
  <c r="P39" i="5"/>
  <c r="G55" i="5"/>
  <c r="G69" i="5"/>
  <c r="G39" i="5"/>
  <c r="H29" i="2"/>
  <c r="J63" i="5"/>
  <c r="L29" i="2"/>
  <c r="M29" i="2"/>
  <c r="E33" i="2"/>
  <c r="J50" i="5"/>
  <c r="K29" i="2"/>
  <c r="N33" i="2"/>
  <c r="F33" i="2"/>
  <c r="G29" i="2"/>
  <c r="J29" i="2"/>
  <c r="G50" i="5"/>
  <c r="H34" i="5"/>
  <c r="I29" i="2"/>
  <c r="I50" i="5"/>
  <c r="L49" i="5"/>
  <c r="H50" i="5"/>
  <c r="L50" i="5"/>
  <c r="G49" i="5"/>
  <c r="P33" i="5"/>
  <c r="L34" i="5"/>
  <c r="I33" i="5"/>
  <c r="H49" i="5"/>
  <c r="J33" i="5"/>
  <c r="G34" i="5"/>
  <c r="G33" i="5"/>
  <c r="I34" i="5"/>
  <c r="P50" i="5"/>
  <c r="P34" i="5"/>
  <c r="J49" i="5"/>
  <c r="P49" i="5"/>
  <c r="H33" i="5"/>
  <c r="J34" i="5"/>
  <c r="I49" i="5"/>
  <c r="L33" i="5"/>
  <c r="J33" i="2"/>
  <c r="L33" i="2"/>
  <c r="N29" i="2"/>
  <c r="G33" i="2"/>
  <c r="H33" i="2"/>
  <c r="I33" i="2"/>
  <c r="K33" i="2"/>
  <c r="M33" i="2"/>
  <c r="F29" i="2"/>
  <c r="C11" i="2"/>
  <c r="D29" i="2"/>
  <c r="C33" i="2"/>
  <c r="E29" i="2"/>
  <c r="D33" i="2"/>
  <c r="L41" i="5" l="1"/>
  <c r="L42" i="5" s="1"/>
  <c r="P22" i="5" s="1"/>
  <c r="L57" i="5"/>
  <c r="L58" i="5" s="1"/>
  <c r="P23" i="5" s="1"/>
  <c r="C12" i="2"/>
  <c r="P57" i="5" l="1"/>
  <c r="P58" i="5" s="1"/>
  <c r="N23" i="5" s="1"/>
  <c r="I57" i="5"/>
  <c r="I58" i="5" s="1"/>
  <c r="Q23" i="5" s="1"/>
  <c r="G41" i="5"/>
  <c r="G42" i="5" s="1"/>
  <c r="L22" i="5" s="1"/>
  <c r="J57" i="5"/>
  <c r="J58" i="5" s="1"/>
  <c r="O23" i="5" s="1"/>
  <c r="J41" i="5"/>
  <c r="J42" i="5" s="1"/>
  <c r="O22" i="5" s="1"/>
  <c r="H41" i="5"/>
  <c r="I27" i="2"/>
  <c r="J27" i="2"/>
  <c r="K27" i="2"/>
  <c r="N27" i="2"/>
  <c r="L27" i="2"/>
  <c r="M27" i="2"/>
  <c r="H27" i="2"/>
  <c r="C27" i="2"/>
  <c r="D27" i="2"/>
  <c r="G27" i="2"/>
  <c r="E27" i="2"/>
  <c r="F27" i="2"/>
  <c r="C13" i="2"/>
  <c r="C38" i="2" s="1"/>
  <c r="C47" i="2"/>
  <c r="G57" i="5" l="1"/>
  <c r="G58" i="5" s="1"/>
  <c r="L23" i="5" s="1"/>
  <c r="I41" i="5"/>
  <c r="I42" i="5" s="1"/>
  <c r="Q22" i="5" s="1"/>
  <c r="H42" i="5"/>
  <c r="M22" i="5" s="1"/>
  <c r="H57" i="5"/>
  <c r="H58" i="5" s="1"/>
  <c r="M23" i="5" s="1"/>
  <c r="P41" i="5"/>
  <c r="P42" i="5" s="1"/>
  <c r="N22" i="5" s="1"/>
  <c r="C43" i="2"/>
  <c r="C42" i="2"/>
  <c r="C44" i="2"/>
  <c r="C41" i="2"/>
  <c r="C57" i="2"/>
  <c r="D57" i="2" s="1"/>
  <c r="C37" i="2"/>
  <c r="C39" i="2"/>
  <c r="H59" i="2"/>
  <c r="G31" i="2"/>
  <c r="G54" i="2" s="1"/>
  <c r="F31" i="2"/>
  <c r="F54" i="2" s="1"/>
  <c r="E59" i="2"/>
  <c r="I31" i="2"/>
  <c r="I54" i="2" s="1"/>
  <c r="N31" i="2"/>
  <c r="N54" i="2" s="1"/>
  <c r="C59" i="2"/>
  <c r="M59" i="2"/>
  <c r="K31" i="2"/>
  <c r="K54" i="2" s="1"/>
  <c r="J59" i="2"/>
  <c r="D59" i="2"/>
  <c r="C31" i="2" l="1"/>
  <c r="C54" i="2" s="1"/>
  <c r="D31" i="2"/>
  <c r="D54" i="2" s="1"/>
  <c r="J31" i="2"/>
  <c r="J54" i="2" s="1"/>
  <c r="M31" i="2"/>
  <c r="M54" i="2" s="1"/>
  <c r="N59" i="2"/>
  <c r="H31" i="2"/>
  <c r="H54" i="2" s="1"/>
  <c r="F59" i="2"/>
  <c r="I59" i="2"/>
  <c r="E31" i="2"/>
  <c r="E54" i="2" s="1"/>
  <c r="E57" i="2"/>
  <c r="L59" i="2"/>
  <c r="L31" i="2"/>
  <c r="L54" i="2" s="1"/>
  <c r="C50" i="2"/>
  <c r="C51" i="2" s="1"/>
  <c r="K59" i="2"/>
  <c r="G59" i="2"/>
  <c r="F57" i="2" l="1"/>
  <c r="E53" i="2"/>
  <c r="G71" i="5" s="1"/>
  <c r="G72" i="5" s="1"/>
  <c r="L24" i="5" s="1"/>
  <c r="F55" i="2"/>
  <c r="E55" i="2"/>
  <c r="E62" i="2" s="1"/>
  <c r="D55" i="2"/>
  <c r="C55" i="2"/>
  <c r="D53" i="2"/>
  <c r="C53" i="2"/>
  <c r="C64" i="2" l="1"/>
  <c r="D21" i="3" s="1"/>
  <c r="F13" i="3"/>
  <c r="F15" i="3"/>
  <c r="F17" i="3"/>
  <c r="F14" i="3"/>
  <c r="F16" i="3"/>
  <c r="F18" i="3"/>
  <c r="F12" i="3"/>
  <c r="D64" i="2"/>
  <c r="E21" i="3" s="1"/>
  <c r="E64" i="2"/>
  <c r="F21" i="3" s="1"/>
  <c r="D38" i="3"/>
  <c r="F41" i="3"/>
  <c r="C62" i="2"/>
  <c r="D62" i="2"/>
  <c r="F53" i="2"/>
  <c r="H71" i="5" s="1"/>
  <c r="H72" i="5" s="1"/>
  <c r="M24" i="5" s="1"/>
  <c r="G57" i="2"/>
  <c r="E38" i="3" l="1"/>
  <c r="D12" i="3"/>
  <c r="D15" i="3"/>
  <c r="D17" i="3"/>
  <c r="D14" i="3"/>
  <c r="D13" i="3"/>
  <c r="D16" i="3"/>
  <c r="D18" i="3"/>
  <c r="F38" i="3"/>
  <c r="D66" i="2"/>
  <c r="E13" i="3"/>
  <c r="E15" i="3"/>
  <c r="E17" i="3"/>
  <c r="E12" i="3"/>
  <c r="E18" i="3"/>
  <c r="E16" i="3"/>
  <c r="E14" i="3"/>
  <c r="E66" i="2"/>
  <c r="F62" i="2"/>
  <c r="F64" i="2"/>
  <c r="G21" i="3" s="1"/>
  <c r="C66" i="2"/>
  <c r="D64" i="3"/>
  <c r="E41" i="3"/>
  <c r="H57" i="2"/>
  <c r="G53" i="2"/>
  <c r="I71" i="5" s="1"/>
  <c r="I72" i="5" s="1"/>
  <c r="Q24" i="5" s="1"/>
  <c r="G55" i="2"/>
  <c r="D41" i="3"/>
  <c r="G13" i="3" l="1"/>
  <c r="G15" i="3"/>
  <c r="G17" i="3"/>
  <c r="G12" i="3"/>
  <c r="G14" i="3"/>
  <c r="G16" i="3"/>
  <c r="G18" i="3"/>
  <c r="G64" i="2"/>
  <c r="H21" i="3" s="1"/>
  <c r="D54" i="3"/>
  <c r="D55" i="3"/>
  <c r="H53" i="2"/>
  <c r="J71" i="5" s="1"/>
  <c r="J72" i="5" s="1"/>
  <c r="O24" i="5" s="1"/>
  <c r="I57" i="2"/>
  <c r="H55" i="2"/>
  <c r="D58" i="3"/>
  <c r="D57" i="3"/>
  <c r="D56" i="3"/>
  <c r="G62" i="2"/>
  <c r="D59" i="3"/>
  <c r="F66" i="2"/>
  <c r="G38" i="3"/>
  <c r="D60" i="3"/>
  <c r="G41" i="3"/>
  <c r="H13" i="3" l="1"/>
  <c r="H15" i="3"/>
  <c r="H17" i="3"/>
  <c r="H12" i="3"/>
  <c r="H54" i="3" s="1"/>
  <c r="H14" i="3"/>
  <c r="H16" i="3"/>
  <c r="H18" i="3"/>
  <c r="G66" i="2"/>
  <c r="H64" i="3"/>
  <c r="H38" i="3"/>
  <c r="H62" i="2"/>
  <c r="I41" i="3" s="1"/>
  <c r="H64" i="2"/>
  <c r="I21" i="3" s="1"/>
  <c r="H41" i="3"/>
  <c r="H60" i="3"/>
  <c r="H55" i="3"/>
  <c r="I53" i="2"/>
  <c r="J57" i="2"/>
  <c r="I55" i="2"/>
  <c r="I38" i="3" l="1"/>
  <c r="I13" i="3"/>
  <c r="I15" i="3"/>
  <c r="I17" i="3"/>
  <c r="I12" i="3"/>
  <c r="I14" i="3"/>
  <c r="I16" i="3"/>
  <c r="I18" i="3"/>
  <c r="I62" i="2"/>
  <c r="J41" i="3" s="1"/>
  <c r="I64" i="2"/>
  <c r="J21" i="3" s="1"/>
  <c r="H66" i="2"/>
  <c r="H57" i="3"/>
  <c r="H58" i="3"/>
  <c r="H59" i="3"/>
  <c r="H56" i="3"/>
  <c r="J53" i="2"/>
  <c r="L71" i="5" s="1"/>
  <c r="L72" i="5" s="1"/>
  <c r="P24" i="5" s="1"/>
  <c r="K57" i="2"/>
  <c r="J55" i="2"/>
  <c r="I66" i="2" l="1"/>
  <c r="J38" i="3"/>
  <c r="J13" i="3"/>
  <c r="J15" i="3"/>
  <c r="J17" i="3"/>
  <c r="J14" i="3"/>
  <c r="J12" i="3"/>
  <c r="J16" i="3"/>
  <c r="J18" i="3"/>
  <c r="J62" i="2"/>
  <c r="K41" i="3" s="1"/>
  <c r="J64" i="2"/>
  <c r="K21" i="3" s="1"/>
  <c r="L57" i="2"/>
  <c r="K53" i="2"/>
  <c r="K55" i="2"/>
  <c r="K13" i="3" l="1"/>
  <c r="K15" i="3"/>
  <c r="K17" i="3"/>
  <c r="K12" i="3"/>
  <c r="K16" i="3"/>
  <c r="K14" i="3"/>
  <c r="K18" i="3"/>
  <c r="K62" i="2"/>
  <c r="M41" i="3" s="1"/>
  <c r="L41" i="3" s="1"/>
  <c r="K64" i="2"/>
  <c r="L21" i="3" s="1"/>
  <c r="K38" i="3"/>
  <c r="J66" i="2"/>
  <c r="L64" i="3"/>
  <c r="L53" i="2"/>
  <c r="M57" i="2"/>
  <c r="L55" i="2"/>
  <c r="L13" i="3" l="1"/>
  <c r="L55" i="3" s="1"/>
  <c r="L15" i="3"/>
  <c r="L57" i="3" s="1"/>
  <c r="L17" i="3"/>
  <c r="L59" i="3" s="1"/>
  <c r="L12" i="3"/>
  <c r="L54" i="3" s="1"/>
  <c r="L16" i="3"/>
  <c r="L58" i="3" s="1"/>
  <c r="L14" i="3"/>
  <c r="L56" i="3" s="1"/>
  <c r="L18" i="3"/>
  <c r="L60" i="3" s="1"/>
  <c r="L64" i="2"/>
  <c r="L62" i="2"/>
  <c r="N57" i="2"/>
  <c r="M53" i="2"/>
  <c r="M55" i="2"/>
  <c r="M38" i="3"/>
  <c r="L38" i="3" s="1"/>
  <c r="K66" i="2"/>
  <c r="L66" i="2" l="1"/>
  <c r="M21" i="3"/>
  <c r="M13" i="3"/>
  <c r="M15" i="3"/>
  <c r="M17" i="3"/>
  <c r="M12" i="3"/>
  <c r="M16" i="3"/>
  <c r="M14" i="3"/>
  <c r="M18" i="3"/>
  <c r="M64" i="2"/>
  <c r="N21" i="3" s="1"/>
  <c r="N38" i="3"/>
  <c r="M62" i="2"/>
  <c r="O41" i="3" s="1"/>
  <c r="N41" i="3"/>
  <c r="N53" i="2"/>
  <c r="P71" i="5" s="1"/>
  <c r="P72" i="5" s="1"/>
  <c r="N55" i="2"/>
  <c r="M66" i="2" l="1"/>
  <c r="O38" i="3"/>
  <c r="N13" i="3"/>
  <c r="N15" i="3"/>
  <c r="N17" i="3"/>
  <c r="N12" i="3"/>
  <c r="N18" i="3"/>
  <c r="N14" i="3"/>
  <c r="N16" i="3"/>
  <c r="N24" i="5"/>
  <c r="N62" i="2"/>
  <c r="Q41" i="3" s="1"/>
  <c r="P41" i="3" s="1"/>
  <c r="N64" i="2"/>
  <c r="N66" i="2" l="1"/>
  <c r="O21" i="3"/>
  <c r="P64" i="3" s="1"/>
  <c r="Q38" i="3"/>
  <c r="P38" i="3" s="1"/>
  <c r="O14" i="3"/>
  <c r="P56" i="3" s="1"/>
  <c r="O16" i="3"/>
  <c r="P58" i="3" s="1"/>
  <c r="O18" i="3"/>
  <c r="P60" i="3" s="1"/>
  <c r="O13" i="3"/>
  <c r="P55" i="3" s="1"/>
  <c r="O15" i="3"/>
  <c r="P57" i="3" s="1"/>
  <c r="O17" i="3"/>
  <c r="P59" i="3" s="1"/>
  <c r="O12" i="3"/>
  <c r="P5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<sst xmlns="http://schemas.openxmlformats.org/spreadsheetml/2006/main" count="630" uniqueCount="324">
  <si>
    <t xml:space="preserve">Taxes </t>
  </si>
  <si>
    <t>Type of Taxes</t>
  </si>
  <si>
    <t>Yearly</t>
  </si>
  <si>
    <t xml:space="preserve">Federal </t>
  </si>
  <si>
    <t>Payroll Taxes</t>
  </si>
  <si>
    <t>Washington B&amp;O Tax</t>
  </si>
  <si>
    <t>Benefits and Training</t>
  </si>
  <si>
    <t>Type of Benefits</t>
  </si>
  <si>
    <t>Hours or Dollars (Yearly)</t>
  </si>
  <si>
    <t>% of 2080 Hrs. (Yearly)</t>
  </si>
  <si>
    <t>PTO - 120 hrs. yearly</t>
  </si>
  <si>
    <t>Holiday - 88 hrs. yearly</t>
  </si>
  <si>
    <t>Training - 40 hrs. yearly</t>
  </si>
  <si>
    <t>Staff Health Insurance per FTE per year</t>
  </si>
  <si>
    <t>Qualifications &amp; Standards</t>
  </si>
  <si>
    <t>Case Aide</t>
  </si>
  <si>
    <t>Follows WAC 110-145-1445</t>
  </si>
  <si>
    <t>Case Aide - hours weekly supervision</t>
  </si>
  <si>
    <t>Support Manager</t>
  </si>
  <si>
    <t>Follows WAC 110-145-1440</t>
  </si>
  <si>
    <t>Caseload Standards</t>
  </si>
  <si>
    <t>Case Aide Lvl 3</t>
  </si>
  <si>
    <t>Case Aide Lvl 4</t>
  </si>
  <si>
    <t>Case Aide Lvl 5</t>
  </si>
  <si>
    <t>Case Aide Lvl 6</t>
  </si>
  <si>
    <t>Case Aide Lvl 7</t>
  </si>
  <si>
    <t>Ratio</t>
  </si>
  <si>
    <t>Notes</t>
  </si>
  <si>
    <t>Supervisor</t>
  </si>
  <si>
    <t>Staff to supervisor</t>
  </si>
  <si>
    <t>Program Managers</t>
  </si>
  <si>
    <t>Supervisors to Managers</t>
  </si>
  <si>
    <t>After Hours coverage</t>
  </si>
  <si>
    <t>Per FTE Per Case Manager</t>
  </si>
  <si>
    <t>CQI/PBC Managers</t>
  </si>
  <si>
    <t>Per Case Manager &amp; Case Aide FTE</t>
  </si>
  <si>
    <t>Executive/Dir</t>
  </si>
  <si>
    <t>Program Manager to Exec</t>
  </si>
  <si>
    <t>Administrative/data entry</t>
  </si>
  <si>
    <t>Workforce per FTE</t>
  </si>
  <si>
    <t>Services Delivery</t>
  </si>
  <si>
    <t xml:space="preserve">Semi-Annual In-Home Support Planning visit </t>
  </si>
  <si>
    <t>minutes - on avg</t>
  </si>
  <si>
    <t>meetings a year</t>
  </si>
  <si>
    <t xml:space="preserve">Overhead </t>
  </si>
  <si>
    <t xml:space="preserve">Office Space rent - avg </t>
  </si>
  <si>
    <t>100 sq. ft Per FTE - Avg cost</t>
  </si>
  <si>
    <t>Utilities (phone, electric, Internet)</t>
  </si>
  <si>
    <t>Per sq ft per month</t>
  </si>
  <si>
    <t>Office supplies/Tech/furniture/Janitorial</t>
  </si>
  <si>
    <t>Per FTE per month</t>
  </si>
  <si>
    <t>Bookkeeping  &amp; Payroll</t>
  </si>
  <si>
    <t>Insurance (property and liability)</t>
  </si>
  <si>
    <t>Per service delivery FTE per year</t>
  </si>
  <si>
    <t xml:space="preserve">HR &amp; Payroll </t>
  </si>
  <si>
    <t>per FTE per month</t>
  </si>
  <si>
    <t>Staff Equipment - Phones, Laptops, etc.</t>
  </si>
  <si>
    <t>Cloud storage and related software</t>
  </si>
  <si>
    <t>Per month cost</t>
  </si>
  <si>
    <t>Cost of staff attendance training(Coverage)</t>
  </si>
  <si>
    <t>Per FTE per Year</t>
  </si>
  <si>
    <t>Cost of Trainings (external trainings)</t>
  </si>
  <si>
    <t>Per Person Per year</t>
  </si>
  <si>
    <t>General Overhead - see notes</t>
  </si>
  <si>
    <t>See notes</t>
  </si>
  <si>
    <t>FTE</t>
  </si>
  <si>
    <t>Adminstrative/data entry</t>
  </si>
  <si>
    <r>
      <t>CQI/PBC -</t>
    </r>
    <r>
      <rPr>
        <sz val="8"/>
        <rFont val="Arial"/>
        <family val="2"/>
      </rPr>
      <t xml:space="preserve"> overhead calculations only</t>
    </r>
  </si>
  <si>
    <t xml:space="preserve">After Hours coverage </t>
  </si>
  <si>
    <t>North-East</t>
  </si>
  <si>
    <t>South-Central</t>
  </si>
  <si>
    <t>Pacific Mountain</t>
  </si>
  <si>
    <t>South-East</t>
  </si>
  <si>
    <t>North-Central</t>
  </si>
  <si>
    <t xml:space="preserve">Central </t>
  </si>
  <si>
    <t>South-West</t>
  </si>
  <si>
    <t>Olympic</t>
  </si>
  <si>
    <t>Tacoma-Pierce</t>
  </si>
  <si>
    <t>Snohomish</t>
  </si>
  <si>
    <t>North-West</t>
  </si>
  <si>
    <t>Seattle-King</t>
  </si>
  <si>
    <t>CQI/PBC manager</t>
  </si>
  <si>
    <t xml:space="preserve">Staff Total </t>
  </si>
  <si>
    <t>Per Year Costs</t>
  </si>
  <si>
    <t>Cloud storage and realted software</t>
  </si>
  <si>
    <t xml:space="preserve">General Overhead </t>
  </si>
  <si>
    <t xml:space="preserve">Overhead Total </t>
  </si>
  <si>
    <t>Federal -  assumes 5% net revenue</t>
  </si>
  <si>
    <t>Health Care</t>
  </si>
  <si>
    <t>PTO &amp; Holliday</t>
  </si>
  <si>
    <t>Support Manager FTE Cost</t>
  </si>
  <si>
    <t>Case Aide FTE cost</t>
  </si>
  <si>
    <t xml:space="preserve">Case Aide Hourly </t>
  </si>
  <si>
    <t xml:space="preserve">Caregiver Fee Table </t>
  </si>
  <si>
    <t>Base Case Rate and Hourly Rate</t>
  </si>
  <si>
    <t>Zone 1</t>
  </si>
  <si>
    <t>Zone 2</t>
  </si>
  <si>
    <t>Zone 3</t>
  </si>
  <si>
    <t>Zone 4</t>
  </si>
  <si>
    <t>Northeast</t>
  </si>
  <si>
    <t xml:space="preserve">North-Central </t>
  </si>
  <si>
    <t>Resource Support Lvl 1</t>
  </si>
  <si>
    <t>Resource Support Lvl 2</t>
  </si>
  <si>
    <t>Resource Support Lvl 3</t>
  </si>
  <si>
    <t>Resource Support Lvl 4</t>
  </si>
  <si>
    <t>Resource Support Lvl 5</t>
  </si>
  <si>
    <t>Resource Support Lvl 6</t>
  </si>
  <si>
    <t>Resource Support Lvl 7</t>
  </si>
  <si>
    <t>Placement Support Manager per FTE per month</t>
  </si>
  <si>
    <t>Case Aide - Per FTE per month</t>
  </si>
  <si>
    <t>Case Aide - yearly wages</t>
  </si>
  <si>
    <t>King-North</t>
  </si>
  <si>
    <t>King-South</t>
  </si>
  <si>
    <t>Central</t>
  </si>
  <si>
    <t>Milage reimbursed at posted OFM rate</t>
  </si>
  <si>
    <t>Travel | Office of Financial Management (wa.gov)</t>
  </si>
  <si>
    <t xml:space="preserve">Placement Support Per Placement Lv1 </t>
  </si>
  <si>
    <t>Placement Support Per Placement Lv2</t>
  </si>
  <si>
    <t>Placement Support Per Placement Lv3</t>
  </si>
  <si>
    <t>Placement Support Per Placement Lv4</t>
  </si>
  <si>
    <t>Placement Support Per Placement Lv5</t>
  </si>
  <si>
    <t>Placement Support Per Placement Lv6</t>
  </si>
  <si>
    <t>Placement Support Per Placement Lv7</t>
  </si>
  <si>
    <t>Maximum billable FTEs per month</t>
  </si>
  <si>
    <t>Level 1</t>
  </si>
  <si>
    <t>Level 2</t>
  </si>
  <si>
    <t>Level 3</t>
  </si>
  <si>
    <t>Level 4</t>
  </si>
  <si>
    <t>Level 5</t>
  </si>
  <si>
    <t>Level 6</t>
  </si>
  <si>
    <t>Level 7</t>
  </si>
  <si>
    <t>Zone</t>
  </si>
  <si>
    <t>Northwest</t>
  </si>
  <si>
    <t>Southwest</t>
  </si>
  <si>
    <t>South Central</t>
  </si>
  <si>
    <t>County</t>
  </si>
  <si>
    <t>Lincoln</t>
  </si>
  <si>
    <t>Chelan</t>
  </si>
  <si>
    <t>Island</t>
  </si>
  <si>
    <t>King</t>
  </si>
  <si>
    <t>Pend Oreille</t>
  </si>
  <si>
    <t>Douglas</t>
  </si>
  <si>
    <t>San Juan</t>
  </si>
  <si>
    <t>Spokane</t>
  </si>
  <si>
    <t>Grant</t>
  </si>
  <si>
    <t>Skagit</t>
  </si>
  <si>
    <t>Stevens</t>
  </si>
  <si>
    <t>Kittitas</t>
  </si>
  <si>
    <t>Whatcom</t>
  </si>
  <si>
    <t>Klickitat</t>
  </si>
  <si>
    <t>Ferry</t>
  </si>
  <si>
    <t>Clallam</t>
  </si>
  <si>
    <t>Yakima</t>
  </si>
  <si>
    <t>Okanogan</t>
  </si>
  <si>
    <t>Jefferson</t>
  </si>
  <si>
    <t>Grays Harbor</t>
  </si>
  <si>
    <t>Kitsap</t>
  </si>
  <si>
    <t>Lewis</t>
  </si>
  <si>
    <t>Mason</t>
  </si>
  <si>
    <t>Clark</t>
  </si>
  <si>
    <t>Pacific</t>
  </si>
  <si>
    <t>Cowlitz</t>
  </si>
  <si>
    <t>Thurston</t>
  </si>
  <si>
    <t>Skamania</t>
  </si>
  <si>
    <t>Columbia</t>
  </si>
  <si>
    <t>Wahkiakum</t>
  </si>
  <si>
    <t>Franklin</t>
  </si>
  <si>
    <t>Pierce</t>
  </si>
  <si>
    <t>Garfield</t>
  </si>
  <si>
    <t>Walla Walla</t>
  </si>
  <si>
    <t>Whitman</t>
  </si>
  <si>
    <t>Adams</t>
  </si>
  <si>
    <t>Asotin</t>
  </si>
  <si>
    <t>Benton</t>
  </si>
  <si>
    <t>Month 2</t>
  </si>
  <si>
    <t>Month 1</t>
  </si>
  <si>
    <t>Month 3</t>
  </si>
  <si>
    <t>Access of support services</t>
  </si>
  <si>
    <t>Access of case aide</t>
  </si>
  <si>
    <t>North-Central **</t>
  </si>
  <si>
    <t xml:space="preserve">Supervisor </t>
  </si>
  <si>
    <t>Start Up and Initial Support Funding</t>
  </si>
  <si>
    <t>Overhead</t>
  </si>
  <si>
    <t>North</t>
  </si>
  <si>
    <t>South</t>
  </si>
  <si>
    <t>Overhead and benefits</t>
  </si>
  <si>
    <t>`</t>
  </si>
  <si>
    <t xml:space="preserve">TOTAL </t>
  </si>
  <si>
    <t>Assumptions</t>
  </si>
  <si>
    <t>Monthly service growth</t>
  </si>
  <si>
    <t>FY27</t>
  </si>
  <si>
    <t>FY 26</t>
  </si>
  <si>
    <t>** Some element manually adjusted</t>
  </si>
  <si>
    <t>These assumption are used to drive the model and may be changed here to impact the modeling.
Effective April 1, 2024</t>
  </si>
  <si>
    <t>Behavioral Case Aide  Lvl 3</t>
  </si>
  <si>
    <t>Behavioral Case Aide  Lvl 4</t>
  </si>
  <si>
    <t>Behavioral Case Aide  Lvl 5</t>
  </si>
  <si>
    <t>Behavioral Case Aide  Lvl 6</t>
  </si>
  <si>
    <t>Behavioral Case Aide  Lvl 7</t>
  </si>
  <si>
    <t>Authorized hours of Case Aide Services Per month, per level, per child/youth</t>
  </si>
  <si>
    <t>Month one service delivery capcity</t>
  </si>
  <si>
    <t xml:space="preserve">Case Aide Hourly Rate </t>
  </si>
  <si>
    <t>Placement Support - Per Child/Youth Per Month Case Rate</t>
  </si>
  <si>
    <r>
      <t xml:space="preserve">Portion of the total Caregiver rate paid as </t>
    </r>
    <r>
      <rPr>
        <u/>
        <sz val="12"/>
        <color theme="1"/>
        <rFont val="Calibri"/>
        <family val="2"/>
        <scheme val="minor"/>
      </rPr>
      <t>capacity</t>
    </r>
    <r>
      <rPr>
        <sz val="12"/>
        <rFont val="Arial"/>
        <family val="2"/>
      </rPr>
      <t xml:space="preserve"> versus </t>
    </r>
    <r>
      <rPr>
        <u/>
        <sz val="12"/>
        <rFont val="Arial"/>
        <family val="2"/>
      </rPr>
      <t>fee for service</t>
    </r>
    <r>
      <rPr>
        <sz val="12"/>
        <rFont val="Arial"/>
        <family val="2"/>
      </rPr>
      <t>.</t>
    </r>
  </si>
  <si>
    <t>Manager Step</t>
  </si>
  <si>
    <t>Community and Social Service Occupations (21-1000) 50% - Masters</t>
  </si>
  <si>
    <t>Psychiatric Technicians 29-2053 75%</t>
  </si>
  <si>
    <t>Secretaries and Administrative Assistants, (43-6014) 50%</t>
  </si>
  <si>
    <t>Manager</t>
  </si>
  <si>
    <t>Exported on: Tuesday, October 3, 2023 4:04 PM</t>
  </si>
  <si>
    <t>Source: JobsEQ®</t>
  </si>
  <si>
    <t>Note: Figures may not sum due to rounding.</t>
  </si>
  <si>
    <t>1. Wage data are as of 2023Q1 and represent the average for all Covered Employment.</t>
  </si>
  <si>
    <t>Wages reported by Employment Security were adjusted into grouped zones.</t>
  </si>
  <si>
    <t xml:space="preserve">Total </t>
  </si>
  <si>
    <t>Monthly Case Rate</t>
  </si>
  <si>
    <t xml:space="preserve">Direct Care staff Yearly Wages and Benefits </t>
  </si>
  <si>
    <t>Regional**</t>
  </si>
  <si>
    <t>Yearly Wage</t>
  </si>
  <si>
    <t>Yearly PTO</t>
  </si>
  <si>
    <t>Hollidays</t>
  </si>
  <si>
    <t>Yearly Health Insurance Contribution</t>
  </si>
  <si>
    <t xml:space="preserve">Total Yearly Compensation </t>
  </si>
  <si>
    <t>Add Fair Wages guide, reflecting contract standards</t>
  </si>
  <si>
    <t>Placement Support Manger</t>
  </si>
  <si>
    <t>Behavioral Case Aide</t>
  </si>
  <si>
    <t>Start up funding - Added 100% to PBC/QA position month 1</t>
  </si>
  <si>
    <t xml:space="preserve">Only Adjust Green Cells </t>
  </si>
  <si>
    <t>Steps:</t>
  </si>
  <si>
    <t>1. Select Catchment Area</t>
  </si>
  <si>
    <t>2. Identify number of children and youth being served</t>
  </si>
  <si>
    <t>3. Use allowed monthly billing on A-19 as identified in the contract</t>
  </si>
  <si>
    <t>Catchment</t>
  </si>
  <si>
    <t>Average Caseload</t>
  </si>
  <si>
    <t>Maximum Child/Youth Service</t>
  </si>
  <si>
    <t>Child/Youth Served</t>
  </si>
  <si>
    <t>Additional Allowed Monthly Billing</t>
  </si>
  <si>
    <t>Corrected Case Aide hourly for zone 4</t>
  </si>
  <si>
    <t>Support Services</t>
  </si>
  <si>
    <t>Case aide</t>
  </si>
  <si>
    <t>Pierce-East</t>
  </si>
  <si>
    <t>Pierce-West</t>
  </si>
  <si>
    <t>Changed naming of Pierce South to Pierce East</t>
  </si>
  <si>
    <t>Changed naming of Pierce North to Pierce West</t>
  </si>
  <si>
    <t>Engagement into Services</t>
  </si>
  <si>
    <t xml:space="preserve">New Tab - FTE Planning </t>
  </si>
  <si>
    <t>New Tab - Maximum FTE - identifies the maximum number of Support Manager or Case Aides FTE allowed for Capacity Billing</t>
  </si>
  <si>
    <t xml:space="preserve">Based on the following assumptions </t>
  </si>
  <si>
    <t>Data Refershed as of</t>
  </si>
  <si>
    <t xml:space="preserve">Level </t>
  </si>
  <si>
    <t>Lvl 1</t>
  </si>
  <si>
    <t>Lvl 2</t>
  </si>
  <si>
    <t>Lvl 3</t>
  </si>
  <si>
    <t>Lvl 4</t>
  </si>
  <si>
    <t>Lvl 5</t>
  </si>
  <si>
    <t>Lvl 6</t>
  </si>
  <si>
    <t>Lvl 7</t>
  </si>
  <si>
    <t>Number Of Held Cases</t>
  </si>
  <si>
    <t>Added case load calculator to Fee Table tab</t>
  </si>
  <si>
    <t xml:space="preserve">Removed population estimates for areas not contracted. </t>
  </si>
  <si>
    <t>Reference Data ONLY</t>
  </si>
  <si>
    <t xml:space="preserve">Per Case Payment for Ramp-Up Management Support </t>
  </si>
  <si>
    <t>FTE Start-Up Funding Logic -</t>
  </si>
  <si>
    <t xml:space="preserve">
</t>
  </si>
  <si>
    <t xml:space="preserve"> Percent of total FTEs by position by month avialble for cost reimbursement</t>
  </si>
  <si>
    <t xml:space="preserve">Anticipated Resource Level </t>
  </si>
  <si>
    <t>Applying typical distribution of Resource levels to the authorized maximum population identified above- based on data as of January 2024</t>
  </si>
  <si>
    <t xml:space="preserve">FTE  Planning </t>
  </si>
  <si>
    <t xml:space="preserve">Planning Information - </t>
  </si>
  <si>
    <t xml:space="preserve">This is information and tools are to support Provider planning based on contract requirements and DCYF service data. This information is not intended to establish requriements. </t>
  </si>
  <si>
    <r>
      <t xml:space="preserve">
</t>
    </r>
    <r>
      <rPr>
        <sz val="11"/>
        <rFont val="Arial"/>
        <family val="2"/>
      </rPr>
      <t>Adjust the antcipated or actual rates of service engagement by level.</t>
    </r>
    <r>
      <rPr>
        <u/>
        <sz val="12"/>
        <rFont val="Arial"/>
        <family val="2"/>
      </rPr>
      <t xml:space="preserve">
  </t>
    </r>
  </si>
  <si>
    <t xml:space="preserve"> The table below will identify the Support Managers and Case Aides estimated to be needed to deliver services. It will also identify the level of FTE funding provided with service delivery for management staff. </t>
  </si>
  <si>
    <t>Green cells are for Providers to estimate amount of Cases that will be engaged in services</t>
  </si>
  <si>
    <t>Fee For Service - Per Case or Per hour of Case Aide Services</t>
  </si>
  <si>
    <r>
      <rPr>
        <b/>
        <sz val="14"/>
        <rFont val="Arial"/>
        <family val="2"/>
      </rPr>
      <t xml:space="preserve">Service Population by Catchment </t>
    </r>
    <r>
      <rPr>
        <sz val="14"/>
        <rFont val="Arial"/>
        <family val="2"/>
      </rPr>
      <t>in accordance with contract requriements</t>
    </r>
  </si>
  <si>
    <t>Pecent of Children or Youth Per level *</t>
  </si>
  <si>
    <t xml:space="preserve">*2023 RDA </t>
  </si>
  <si>
    <t>10/1/2024*</t>
  </si>
  <si>
    <t>*update reflects removal of Children under Tribal jursidiction</t>
  </si>
  <si>
    <t>** Element manually adjusted</t>
  </si>
  <si>
    <t>Maximum Allowable FTE for Capacity Payment - Novemeber 2024</t>
  </si>
  <si>
    <t xml:space="preserve">Reflecting November 2024 Service Population </t>
  </si>
  <si>
    <t>Management</t>
  </si>
  <si>
    <t>Managers</t>
  </si>
  <si>
    <t>Placement Support Manager - yearly wages</t>
  </si>
  <si>
    <t>Placement Support Manager Lvl 1</t>
  </si>
  <si>
    <t>Placement Support Manager Lvl 2</t>
  </si>
  <si>
    <t>Placement Support Manager Lvl 3</t>
  </si>
  <si>
    <t>Placement Support Manager Lvl 4</t>
  </si>
  <si>
    <t>Placement Support Manager Lvl 5</t>
  </si>
  <si>
    <t>Placement Support Manager Lvl 6</t>
  </si>
  <si>
    <t>Placement Support Manager Lvl 7</t>
  </si>
  <si>
    <t>Ensuring 1 FTE Management funding Adjusted down based on actual caseload served each month.</t>
  </si>
  <si>
    <t>Manager Supplemental Funding - maximum per month</t>
  </si>
  <si>
    <t>updated based on new placement counts</t>
  </si>
  <si>
    <t xml:space="preserve">Added FTE Planning tool - For Contractors use in planning, has no impact on rates. </t>
  </si>
  <si>
    <t>Placement Support Manager Caseload Calculator</t>
  </si>
  <si>
    <t>Hours worked weekly by Placement Support Manager</t>
  </si>
  <si>
    <t>This tool identifies the maximum allowed cases a Placement Support Manager can carry</t>
  </si>
  <si>
    <t>Case Load</t>
  </si>
  <si>
    <t>1. identify the number of cases by level</t>
  </si>
  <si>
    <t>2.identify the average hours worked a week</t>
  </si>
  <si>
    <t>3. if final number (Available hours a week is red, too many cases are carried)</t>
  </si>
  <si>
    <t>available hours in a week</t>
  </si>
  <si>
    <t>Capacity Payment - Per Full Time Equivalent Per Month</t>
  </si>
  <si>
    <t>Grouping Program and CQI/PBC managers under the larger funding category of Manager</t>
  </si>
  <si>
    <t xml:space="preserve">1. Corrected Start-up funding for month three to better align with contract. Contract allows for reimbursement of actual incurred costs, previous calculation showed a yearly cost and now reflects a month.  </t>
  </si>
  <si>
    <t>2. Added Ramp-up calculation, available for first 90-days of service delivery</t>
  </si>
  <si>
    <t>Extend calculation for case aide on Fee Table tab to include King County</t>
  </si>
  <si>
    <t>Updated Service Population by Catchment - impacting Maximum FTE allowable</t>
  </si>
  <si>
    <r>
      <t xml:space="preserve">Ramp up and start-up models were updated based on population updates for October 2024. The updates only applied to Catchment areas that have </t>
    </r>
    <r>
      <rPr>
        <b/>
        <u/>
        <sz val="10"/>
        <rFont val="Arial"/>
        <family val="2"/>
      </rPr>
      <t>not</t>
    </r>
    <r>
      <rPr>
        <sz val="10"/>
        <rFont val="Arial"/>
        <family val="2"/>
      </rPr>
      <t xml:space="preserve"> been procured as of November 13, 2024. </t>
    </r>
  </si>
  <si>
    <t xml:space="preserve">Updated case load calculator to include hours worked each week. To allow for less than full time workers. </t>
  </si>
  <si>
    <t>FY25*</t>
  </si>
  <si>
    <t>*Catchment areas starting in FY25 did not have start up costs adjsuted with the November 2024 population upate</t>
  </si>
  <si>
    <t xml:space="preserve">Removed erroneous labeling Semi-Annual on Per FTE cost - inconsistent with Contract. </t>
  </si>
  <si>
    <t>Green shaded cell are for Provider Use</t>
  </si>
  <si>
    <t>The Capacity billing has been expanded to include Manager supplemental funding in the Fee Table</t>
  </si>
  <si>
    <t>In-Home Support Planning visits</t>
  </si>
  <si>
    <t>Updated Start Up maximum client counts, reflecting larger estimated capacity</t>
  </si>
  <si>
    <t>Updated frequency of reporting updated Service Population by Catchment on Maximum FTE allowable tab</t>
  </si>
  <si>
    <t>West</t>
  </si>
  <si>
    <t>East</t>
  </si>
  <si>
    <t>v 1.5.2</t>
  </si>
  <si>
    <t>updated child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</si>
</sst>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_(* #,##0_);_(* \(#,##0\);_(* &quot;-&quot;??_);_(@_)"/>
    <numFmt numFmtId="166" formatCode="0.000"/>
    <numFmt numFmtId="167" formatCode="#,##0.0_);[Red]\(#,##0.0\)"/>
    <numFmt numFmtId="168" formatCode="#,##0.0"/>
    <numFmt numFmtId="169" formatCode="0.0"/>
    <numFmt numFmtId="170" formatCode="&quot;$&quot;#,##0"/>
    <numFmt numFmtId="171" formatCode="&quot;$&quot;#,##0.00"/>
    <numFmt numFmtId="172" formatCode="\$#,##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3"/>
      <color theme="1"/>
      <name val="Calibri"/>
      <family val="2"/>
      <scheme val="minor"/>
    </font>
    <font>
      <b/>
      <sz val="12"/>
      <color theme="1"/>
      <name val="Calibri"/>
      <family val="2"/>
      <scheme val="minor"/>
    </font>
    <font>
      <i/>
      <sz val="11"/>
      <color theme="1"/>
      <name val="Calibri"/>
      <family val="2"/>
      <scheme val="minor"/>
    </font>
    <font>
      <sz val="10"/>
      <name val="Arial"/>
      <family val="2"/>
    </font>
    <font>
      <i/>
      <sz val="8"/>
      <color theme="1"/>
      <name val="Calibri"/>
      <family val="2"/>
      <scheme val="minor"/>
    </font>
    <font>
      <b/>
      <sz val="10"/>
      <name val="Arial"/>
      <family val="2"/>
    </font>
    <font>
      <sz val="8"/>
      <name val="Arial"/>
      <family val="2"/>
    </font>
    <font>
      <b/>
      <sz val="11"/>
      <name val="Calibri"/>
      <family val="2"/>
    </font>
    <font>
      <b/>
      <i/>
      <sz val="11"/>
      <color theme="1"/>
      <name val="Calibri"/>
      <family val="2"/>
      <scheme val="minor"/>
    </font>
    <font>
      <b/>
      <sz val="18"/>
      <color rgb="FF000000"/>
      <name val="Calibri"/>
      <family val="2"/>
      <scheme val="minor"/>
    </font>
    <font>
      <u/>
      <sz val="10"/>
      <color theme="10"/>
      <name val="Arial"/>
      <family val="2"/>
    </font>
    <font>
      <sz val="14"/>
      <name val="Arial"/>
      <family val="2"/>
    </font>
    <font>
      <b/>
      <sz val="12"/>
      <name val="Arial"/>
      <family val="2"/>
    </font>
    <font>
      <b/>
      <sz val="16"/>
      <name val="Arial"/>
      <family val="2"/>
    </font>
    <font>
      <b/>
      <sz val="14"/>
      <name val="Arial"/>
      <family val="2"/>
    </font>
    <font>
      <b/>
      <sz val="18"/>
      <name val="Arial"/>
      <family val="2"/>
    </font>
    <font>
      <sz val="11"/>
      <name val="Arial"/>
      <family val="2"/>
    </font>
    <font>
      <sz val="12"/>
      <name val="Arial"/>
      <family val="2"/>
    </font>
    <font>
      <b/>
      <sz val="18"/>
      <color theme="1"/>
      <name val="Calibri"/>
      <family val="2"/>
      <scheme val="minor"/>
    </font>
    <font>
      <u/>
      <sz val="12"/>
      <color theme="1"/>
      <name val="Calibri"/>
      <family val="2"/>
      <scheme val="minor"/>
    </font>
    <font>
      <u/>
      <sz val="12"/>
      <name val="Arial"/>
      <family val="2"/>
    </font>
    <font>
      <u/>
      <sz val="11"/>
      <color rgb="FF0000FF"/>
      <name val="Calibri"/>
      <family val="2"/>
    </font>
    <font>
      <sz val="10"/>
      <color theme="1"/>
      <name val="Arial"/>
      <family val="2"/>
    </font>
    <font>
      <sz val="10"/>
      <color theme="1" tint="0.34998626667073579"/>
      <name val="Arial"/>
      <family val="2"/>
    </font>
    <font>
      <sz val="11"/>
      <name val="Segoe UI"/>
      <family val="2"/>
    </font>
    <font>
      <b/>
      <u/>
      <sz val="10"/>
      <name val="Arial"/>
      <family val="2"/>
    </font>
    <font>
      <sz val="16"/>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8181"/>
        <bgColor indexed="64"/>
      </patternFill>
    </fill>
    <fill>
      <patternFill patternType="solid">
        <fgColor rgb="FFFFFF00"/>
        <bgColor indexed="64"/>
      </patternFill>
    </fill>
    <fill>
      <patternFill patternType="solid">
        <fgColor rgb="FF99CCFF"/>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4C6E7"/>
        <bgColor rgb="FF000000"/>
      </patternFill>
    </fill>
    <fill>
      <patternFill patternType="solid">
        <fgColor theme="4"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right/>
      <top/>
      <bottom style="thick">
        <color theme="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theme="4" tint="0.39997558519241921"/>
      </top>
      <bottom style="thin">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style="thin">
        <color theme="4" tint="0.39997558519241921"/>
      </right>
      <top style="thin">
        <color theme="4" tint="0.39997558519241921"/>
      </top>
      <bottom style="medium">
        <color indexed="64"/>
      </bottom>
      <diagonal/>
    </border>
    <border>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theme="4"/>
      </top>
      <bottom/>
      <diagonal/>
    </border>
    <border>
      <left style="medium">
        <color indexed="64"/>
      </left>
      <right/>
      <top style="thin">
        <color indexed="64"/>
      </top>
      <bottom/>
      <diagonal/>
    </border>
    <border>
      <left style="medium">
        <color indexed="64"/>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diagonalUp="1" diagonalDown="1">
      <left/>
      <right style="thin">
        <color indexed="64"/>
      </right>
      <top/>
      <bottom/>
      <diagonal style="thin">
        <color auto="1"/>
      </diagonal>
    </border>
  </borders>
  <cellStyleXfs count="14">
    <xf numFmtId="0" fontId="0" fillId="0" borderId="0"/>
    <xf numFmtId="44" fontId="13" fillId="0" borderId="0" applyFont="0" applyFill="0" applyBorder="0" applyAlignment="0" applyProtection="0"/>
    <xf numFmtId="9" fontId="13" fillId="0" borderId="0" applyFont="0" applyFill="0" applyBorder="0" applyAlignment="0" applyProtection="0"/>
    <xf numFmtId="0" fontId="8" fillId="0" borderId="1" applyNumberFormat="0" applyFill="0" applyAlignment="0" applyProtection="0"/>
    <xf numFmtId="9" fontId="7" fillId="0" borderId="0" applyFont="0" applyFill="0" applyBorder="0" applyAlignment="0" applyProtection="0"/>
    <xf numFmtId="0" fontId="7" fillId="0" borderId="0"/>
    <xf numFmtId="9" fontId="13" fillId="0" borderId="0" applyFont="0" applyFill="0" applyBorder="0" applyAlignment="0" applyProtection="0"/>
    <xf numFmtId="44" fontId="13" fillId="0" borderId="0" applyFont="0" applyFill="0" applyBorder="0" applyAlignment="0" applyProtection="0"/>
    <xf numFmtId="0" fontId="6" fillId="0" borderId="0"/>
    <xf numFmtId="0" fontId="20" fillId="0" borderId="0" applyNumberFormat="0" applyFill="0" applyBorder="0" applyAlignment="0" applyProtection="0"/>
    <xf numFmtId="0" fontId="3" fillId="0" borderId="0"/>
    <xf numFmtId="0" fontId="2" fillId="0" borderId="0"/>
    <xf numFmtId="0" fontId="2" fillId="0" borderId="0"/>
    <xf numFmtId="0" fontId="13" fillId="0" borderId="0"/>
  </cellStyleXfs>
  <cellXfs count="388">
    <xf numFmtId="0" fontId="0" fillId="0" borderId="0" xfId="0"/>
    <xf numFmtId="0" fontId="10" fillId="0" borderId="0" xfId="0" applyFont="1" applyAlignment="1">
      <alignment horizontal="center" vertical="center" wrapText="1"/>
    </xf>
    <xf numFmtId="0" fontId="11" fillId="0" borderId="0" xfId="0" applyFont="1"/>
    <xf numFmtId="0" fontId="0" fillId="0" borderId="0" xfId="0" applyAlignment="1">
      <alignment horizontal="center"/>
    </xf>
    <xf numFmtId="0" fontId="12" fillId="3" borderId="3" xfId="0" applyFont="1" applyFill="1" applyBorder="1" applyAlignment="1">
      <alignment horizontal="center"/>
    </xf>
    <xf numFmtId="0" fontId="12" fillId="0" borderId="3" xfId="0" applyFont="1" applyBorder="1" applyAlignment="1">
      <alignment horizontal="center"/>
    </xf>
    <xf numFmtId="0" fontId="0" fillId="0" borderId="3" xfId="0" applyBorder="1"/>
    <xf numFmtId="9" fontId="0" fillId="0" borderId="3" xfId="2" applyFont="1" applyFill="1" applyBorder="1"/>
    <xf numFmtId="164" fontId="0" fillId="0" borderId="3" xfId="2" applyNumberFormat="1" applyFont="1" applyFill="1" applyBorder="1"/>
    <xf numFmtId="164" fontId="0" fillId="0" borderId="0" xfId="2" applyNumberFormat="1" applyFont="1" applyFill="1" applyBorder="1"/>
    <xf numFmtId="0" fontId="9" fillId="0" borderId="0" xfId="0" applyFont="1" applyAlignment="1">
      <alignment horizontal="center"/>
    </xf>
    <xf numFmtId="0" fontId="12" fillId="0" borderId="3" xfId="0" applyFont="1" applyBorder="1" applyAlignment="1">
      <alignment horizontal="center" wrapText="1"/>
    </xf>
    <xf numFmtId="0" fontId="0" fillId="4" borderId="3" xfId="0" applyFill="1" applyBorder="1" applyAlignment="1">
      <alignment horizontal="center"/>
    </xf>
    <xf numFmtId="9" fontId="0" fillId="0" borderId="3" xfId="2" applyFont="1" applyBorder="1" applyAlignment="1">
      <alignment horizontal="center"/>
    </xf>
    <xf numFmtId="7" fontId="0" fillId="0" borderId="0" xfId="0" applyNumberFormat="1"/>
    <xf numFmtId="6" fontId="13" fillId="4" borderId="3" xfId="0" applyNumberFormat="1" applyFont="1" applyFill="1" applyBorder="1" applyAlignment="1">
      <alignment horizontal="center"/>
    </xf>
    <xf numFmtId="0" fontId="0" fillId="5" borderId="3" xfId="0" applyFill="1" applyBorder="1"/>
    <xf numFmtId="0" fontId="13" fillId="0" borderId="0" xfId="0" applyFont="1"/>
    <xf numFmtId="5" fontId="13" fillId="0" borderId="0" xfId="1" applyNumberFormat="1" applyFont="1" applyFill="1" applyBorder="1" applyAlignment="1">
      <alignment horizontal="center"/>
    </xf>
    <xf numFmtId="0" fontId="11" fillId="0" borderId="4" xfId="0" applyFont="1" applyBorder="1"/>
    <xf numFmtId="0" fontId="14" fillId="3" borderId="5" xfId="0" applyFont="1" applyFill="1" applyBorder="1" applyAlignment="1">
      <alignment wrapText="1"/>
    </xf>
    <xf numFmtId="0" fontId="14" fillId="3" borderId="6" xfId="0" applyFont="1" applyFill="1" applyBorder="1" applyAlignment="1">
      <alignment wrapText="1"/>
    </xf>
    <xf numFmtId="165" fontId="13" fillId="0" borderId="3" xfId="0" applyNumberFormat="1" applyFont="1" applyBorder="1" applyAlignment="1">
      <alignment horizontal="left"/>
    </xf>
    <xf numFmtId="0" fontId="0" fillId="0" borderId="3" xfId="0" applyBorder="1" applyAlignment="1">
      <alignment horizontal="center"/>
    </xf>
    <xf numFmtId="164" fontId="7" fillId="0" borderId="0" xfId="2" applyNumberFormat="1" applyFont="1" applyAlignment="1">
      <alignment horizontal="center"/>
    </xf>
    <xf numFmtId="166" fontId="0" fillId="0" borderId="0" xfId="0" applyNumberFormat="1"/>
    <xf numFmtId="0" fontId="0" fillId="6" borderId="3" xfId="0" applyFill="1" applyBorder="1" applyAlignment="1">
      <alignment horizontal="center"/>
    </xf>
    <xf numFmtId="164" fontId="0" fillId="0" borderId="0" xfId="2" applyNumberFormat="1" applyFont="1" applyAlignment="1">
      <alignment horizontal="center"/>
    </xf>
    <xf numFmtId="165" fontId="13" fillId="0" borderId="7" xfId="0" applyNumberFormat="1" applyFont="1" applyBorder="1" applyAlignment="1">
      <alignment horizontal="left"/>
    </xf>
    <xf numFmtId="167" fontId="0" fillId="0" borderId="0" xfId="0" applyNumberFormat="1" applyAlignment="1">
      <alignment horizontal="center"/>
    </xf>
    <xf numFmtId="0" fontId="0" fillId="0" borderId="8" xfId="0" applyBorder="1"/>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165" fontId="0" fillId="0" borderId="2" xfId="0" applyNumberFormat="1" applyBorder="1" applyAlignment="1">
      <alignment horizontal="left"/>
    </xf>
    <xf numFmtId="37" fontId="0" fillId="0" borderId="0" xfId="1" applyNumberFormat="1" applyFont="1" applyFill="1" applyBorder="1" applyAlignment="1">
      <alignment horizontal="center"/>
    </xf>
    <xf numFmtId="0" fontId="13" fillId="0" borderId="11" xfId="0" applyFont="1" applyBorder="1"/>
    <xf numFmtId="0" fontId="0" fillId="0" borderId="11" xfId="0" applyBorder="1"/>
    <xf numFmtId="2" fontId="0" fillId="0" borderId="0" xfId="0" applyNumberFormat="1" applyAlignment="1">
      <alignment horizontal="center"/>
    </xf>
    <xf numFmtId="39" fontId="0" fillId="0" borderId="0" xfId="1" applyNumberFormat="1" applyFont="1" applyFill="1" applyBorder="1" applyAlignment="1">
      <alignment horizontal="center"/>
    </xf>
    <xf numFmtId="168" fontId="0" fillId="0" borderId="0" xfId="0" applyNumberFormat="1" applyAlignment="1">
      <alignment horizontal="center"/>
    </xf>
    <xf numFmtId="165" fontId="13" fillId="0" borderId="12" xfId="0" applyNumberFormat="1" applyFont="1" applyBorder="1" applyAlignment="1">
      <alignment horizontal="left"/>
    </xf>
    <xf numFmtId="37" fontId="0" fillId="0" borderId="4" xfId="1" applyNumberFormat="1" applyFont="1" applyFill="1" applyBorder="1" applyAlignment="1">
      <alignment horizontal="center"/>
    </xf>
    <xf numFmtId="165" fontId="13" fillId="0" borderId="13" xfId="0" applyNumberFormat="1" applyFont="1" applyBorder="1" applyAlignment="1">
      <alignment horizontal="left"/>
    </xf>
    <xf numFmtId="0" fontId="15" fillId="0" borderId="0" xfId="0" applyFont="1"/>
    <xf numFmtId="165" fontId="13" fillId="0" borderId="0" xfId="0" applyNumberFormat="1" applyFont="1" applyAlignment="1">
      <alignment horizontal="left"/>
    </xf>
    <xf numFmtId="8" fontId="0" fillId="0" borderId="0" xfId="0" applyNumberFormat="1"/>
    <xf numFmtId="0" fontId="0" fillId="0" borderId="14" xfId="0" applyBorder="1" applyAlignment="1">
      <alignment horizontal="left" wrapText="1"/>
    </xf>
    <xf numFmtId="8" fontId="0" fillId="0" borderId="15" xfId="0" applyNumberFormat="1" applyBorder="1" applyAlignment="1">
      <alignment horizontal="center"/>
    </xf>
    <xf numFmtId="0" fontId="0" fillId="0" borderId="16" xfId="0" applyBorder="1"/>
    <xf numFmtId="0" fontId="0" fillId="0" borderId="17" xfId="0" applyBorder="1" applyAlignment="1">
      <alignment horizontal="left" wrapText="1"/>
    </xf>
    <xf numFmtId="8" fontId="0" fillId="0" borderId="7" xfId="0" applyNumberFormat="1" applyBorder="1" applyAlignment="1">
      <alignment horizontal="center"/>
    </xf>
    <xf numFmtId="0" fontId="0" fillId="0" borderId="18" xfId="0" applyBorder="1"/>
    <xf numFmtId="6" fontId="0" fillId="0" borderId="7" xfId="0" applyNumberFormat="1" applyBorder="1" applyAlignment="1">
      <alignment horizontal="center"/>
    </xf>
    <xf numFmtId="6" fontId="0" fillId="0" borderId="3" xfId="0" applyNumberFormat="1" applyBorder="1" applyAlignment="1">
      <alignment horizontal="center"/>
    </xf>
    <xf numFmtId="0" fontId="0" fillId="0" borderId="19" xfId="0" applyBorder="1"/>
    <xf numFmtId="0" fontId="0" fillId="0" borderId="17" xfId="0" applyBorder="1"/>
    <xf numFmtId="0" fontId="0" fillId="0" borderId="19" xfId="0" applyBorder="1" applyAlignment="1">
      <alignment wrapText="1"/>
    </xf>
    <xf numFmtId="0" fontId="0" fillId="0" borderId="17" xfId="0" applyBorder="1" applyAlignment="1">
      <alignment horizontal="left"/>
    </xf>
    <xf numFmtId="0" fontId="0" fillId="0" borderId="17" xfId="0" applyBorder="1" applyAlignment="1">
      <alignment wrapText="1"/>
    </xf>
    <xf numFmtId="9" fontId="0" fillId="0" borderId="3" xfId="4" applyFont="1" applyFill="1" applyBorder="1" applyAlignment="1">
      <alignment horizontal="center"/>
    </xf>
    <xf numFmtId="0" fontId="0" fillId="0" borderId="20" xfId="0" applyBorder="1"/>
    <xf numFmtId="6" fontId="0" fillId="0" borderId="21" xfId="0" applyNumberFormat="1" applyBorder="1" applyAlignment="1">
      <alignment horizontal="center"/>
    </xf>
    <xf numFmtId="0" fontId="0" fillId="0" borderId="22" xfId="0" applyBorder="1"/>
    <xf numFmtId="0" fontId="0" fillId="0" borderId="23" xfId="0" applyBorder="1"/>
    <xf numFmtId="9" fontId="0" fillId="0" borderId="24" xfId="0" applyNumberFormat="1" applyBorder="1" applyAlignment="1">
      <alignment horizontal="center"/>
    </xf>
    <xf numFmtId="6" fontId="0" fillId="0" borderId="25" xfId="0" applyNumberFormat="1" applyBorder="1" applyAlignment="1">
      <alignment horizontal="left"/>
    </xf>
    <xf numFmtId="0" fontId="13" fillId="0" borderId="0" xfId="0" applyFont="1" applyAlignment="1">
      <alignment horizontal="center"/>
    </xf>
    <xf numFmtId="169" fontId="0" fillId="0" borderId="0" xfId="0" applyNumberFormat="1" applyAlignment="1">
      <alignment horizontal="center"/>
    </xf>
    <xf numFmtId="165" fontId="0" fillId="0" borderId="0" xfId="0" applyNumberFormat="1" applyAlignment="1">
      <alignment horizontal="left"/>
    </xf>
    <xf numFmtId="166" fontId="0" fillId="0" borderId="0" xfId="0" applyNumberFormat="1" applyAlignment="1">
      <alignment horizontal="center"/>
    </xf>
    <xf numFmtId="10" fontId="0" fillId="7" borderId="0" xfId="2" applyNumberFormat="1" applyFont="1" applyFill="1" applyAlignment="1">
      <alignment horizontal="center"/>
    </xf>
    <xf numFmtId="10" fontId="0" fillId="8" borderId="0" xfId="2" applyNumberFormat="1" applyFont="1" applyFill="1" applyAlignment="1">
      <alignment horizontal="center"/>
    </xf>
    <xf numFmtId="10" fontId="0" fillId="9" borderId="0" xfId="2" applyNumberFormat="1" applyFont="1" applyFill="1" applyAlignment="1">
      <alignment horizontal="center"/>
    </xf>
    <xf numFmtId="0" fontId="7" fillId="10" borderId="26" xfId="5" applyFill="1" applyBorder="1"/>
    <xf numFmtId="0" fontId="17" fillId="0" borderId="0" xfId="0" applyFont="1" applyAlignment="1">
      <alignment horizontal="center" vertical="center" wrapText="1"/>
    </xf>
    <xf numFmtId="0" fontId="15" fillId="11" borderId="0" xfId="0" applyFont="1" applyFill="1"/>
    <xf numFmtId="165" fontId="13" fillId="0" borderId="5" xfId="0" applyNumberFormat="1" applyFont="1" applyBorder="1" applyAlignment="1">
      <alignment horizontal="left"/>
    </xf>
    <xf numFmtId="170" fontId="0" fillId="0" borderId="0" xfId="0" applyNumberFormat="1" applyAlignment="1">
      <alignment horizontal="center"/>
    </xf>
    <xf numFmtId="170" fontId="0" fillId="0" borderId="0" xfId="0" applyNumberFormat="1"/>
    <xf numFmtId="165" fontId="0" fillId="0" borderId="5" xfId="0" applyNumberFormat="1" applyBorder="1" applyAlignment="1">
      <alignment horizontal="left"/>
    </xf>
    <xf numFmtId="165" fontId="0" fillId="0" borderId="12" xfId="0" applyNumberFormat="1" applyBorder="1" applyAlignment="1">
      <alignment horizontal="left"/>
    </xf>
    <xf numFmtId="165" fontId="15" fillId="0" borderId="0" xfId="0" applyNumberFormat="1" applyFont="1" applyAlignment="1">
      <alignment horizontal="right"/>
    </xf>
    <xf numFmtId="170" fontId="15" fillId="0" borderId="0" xfId="0" applyNumberFormat="1" applyFont="1" applyAlignment="1">
      <alignment horizontal="center"/>
    </xf>
    <xf numFmtId="171" fontId="0" fillId="0" borderId="0" xfId="0" applyNumberFormat="1" applyAlignment="1">
      <alignment horizontal="center"/>
    </xf>
    <xf numFmtId="9" fontId="0" fillId="0" borderId="0" xfId="2" applyFont="1"/>
    <xf numFmtId="0" fontId="13" fillId="0" borderId="23" xfId="0" applyFont="1" applyBorder="1"/>
    <xf numFmtId="0" fontId="18" fillId="0" borderId="5" xfId="0" applyFont="1" applyBorder="1" applyAlignment="1">
      <alignment horizontal="right" indent="1"/>
    </xf>
    <xf numFmtId="6" fontId="0" fillId="12" borderId="27" xfId="0" applyNumberFormat="1" applyFill="1" applyBorder="1" applyAlignment="1">
      <alignment horizontal="center"/>
    </xf>
    <xf numFmtId="0" fontId="13" fillId="0" borderId="3" xfId="0" applyFont="1" applyBorder="1"/>
    <xf numFmtId="8" fontId="0" fillId="0" borderId="0" xfId="0" applyNumberFormat="1" applyAlignment="1">
      <alignment horizontal="center"/>
    </xf>
    <xf numFmtId="6" fontId="0" fillId="0" borderId="0" xfId="0" applyNumberFormat="1" applyAlignment="1">
      <alignment horizontal="center"/>
    </xf>
    <xf numFmtId="0" fontId="13" fillId="0" borderId="0" xfId="0" applyFont="1" applyAlignment="1">
      <alignment horizontal="right"/>
    </xf>
    <xf numFmtId="171" fontId="0" fillId="0" borderId="0" xfId="0" applyNumberFormat="1"/>
    <xf numFmtId="0" fontId="0" fillId="0" borderId="31" xfId="0" applyBorder="1"/>
    <xf numFmtId="0" fontId="0" fillId="0" borderId="32" xfId="0" applyBorder="1"/>
    <xf numFmtId="10" fontId="0" fillId="7" borderId="0" xfId="2" applyNumberFormat="1" applyFont="1" applyFill="1" applyBorder="1" applyAlignment="1">
      <alignment horizontal="center"/>
    </xf>
    <xf numFmtId="10" fontId="0" fillId="8" borderId="0" xfId="2" applyNumberFormat="1" applyFont="1" applyFill="1" applyBorder="1" applyAlignment="1">
      <alignment horizontal="center"/>
    </xf>
    <xf numFmtId="10" fontId="0" fillId="9" borderId="0" xfId="2" applyNumberFormat="1" applyFont="1" applyFill="1" applyBorder="1" applyAlignment="1">
      <alignment horizontal="center"/>
    </xf>
    <xf numFmtId="0" fontId="13" fillId="0" borderId="31" xfId="0" applyFont="1" applyBorder="1"/>
    <xf numFmtId="170" fontId="0" fillId="0" borderId="32" xfId="0" applyNumberFormat="1" applyBorder="1"/>
    <xf numFmtId="171" fontId="0" fillId="0" borderId="32" xfId="0" applyNumberFormat="1" applyBorder="1" applyAlignment="1">
      <alignment horizontal="center"/>
    </xf>
    <xf numFmtId="0" fontId="0" fillId="0" borderId="35" xfId="0" applyBorder="1"/>
    <xf numFmtId="171" fontId="0" fillId="0" borderId="36" xfId="0" applyNumberFormat="1" applyBorder="1" applyAlignment="1">
      <alignment horizontal="center"/>
    </xf>
    <xf numFmtId="171" fontId="0" fillId="0" borderId="37" xfId="0" applyNumberFormat="1" applyBorder="1" applyAlignment="1">
      <alignment horizontal="center"/>
    </xf>
    <xf numFmtId="0" fontId="15" fillId="0" borderId="0" xfId="0" applyFont="1" applyAlignment="1">
      <alignment horizontal="center"/>
    </xf>
    <xf numFmtId="0" fontId="7" fillId="0" borderId="0" xfId="5"/>
    <xf numFmtId="10" fontId="13" fillId="7" borderId="0" xfId="2" applyNumberFormat="1" applyFont="1" applyFill="1" applyAlignment="1">
      <alignment horizontal="center"/>
    </xf>
    <xf numFmtId="0" fontId="6" fillId="10" borderId="26" xfId="5" applyFont="1" applyFill="1" applyBorder="1"/>
    <xf numFmtId="10" fontId="13" fillId="8" borderId="0" xfId="2" applyNumberFormat="1" applyFont="1" applyFill="1" applyAlignment="1">
      <alignment horizontal="center"/>
    </xf>
    <xf numFmtId="0" fontId="20" fillId="0" borderId="0" xfId="9"/>
    <xf numFmtId="9" fontId="0" fillId="0" borderId="0" xfId="2" applyFont="1" applyAlignment="1">
      <alignment horizontal="center"/>
    </xf>
    <xf numFmtId="1" fontId="0" fillId="0" borderId="0" xfId="0" applyNumberFormat="1" applyAlignment="1">
      <alignment horizontal="center"/>
    </xf>
    <xf numFmtId="0" fontId="0" fillId="0" borderId="29" xfId="0" applyBorder="1"/>
    <xf numFmtId="10" fontId="0" fillId="9" borderId="29" xfId="2" applyNumberFormat="1" applyFont="1" applyFill="1" applyBorder="1" applyAlignment="1">
      <alignment horizontal="center"/>
    </xf>
    <xf numFmtId="0" fontId="0" fillId="0" borderId="30" xfId="0" applyBorder="1"/>
    <xf numFmtId="10" fontId="0" fillId="7" borderId="36" xfId="2" applyNumberFormat="1" applyFont="1" applyFill="1" applyBorder="1" applyAlignment="1">
      <alignment horizontal="center"/>
    </xf>
    <xf numFmtId="10" fontId="0" fillId="8" borderId="36" xfId="2" applyNumberFormat="1" applyFont="1" applyFill="1" applyBorder="1" applyAlignment="1">
      <alignment horizontal="center"/>
    </xf>
    <xf numFmtId="10" fontId="0" fillId="9" borderId="39" xfId="2" applyNumberFormat="1" applyFont="1" applyFill="1" applyBorder="1" applyAlignment="1">
      <alignment horizontal="center"/>
    </xf>
    <xf numFmtId="0" fontId="7" fillId="10" borderId="37" xfId="5" applyFill="1" applyBorder="1"/>
    <xf numFmtId="0" fontId="7" fillId="0" borderId="40" xfId="5" applyBorder="1"/>
    <xf numFmtId="0" fontId="7" fillId="0" borderId="41" xfId="5" applyBorder="1"/>
    <xf numFmtId="0" fontId="7" fillId="0" borderId="42" xfId="5" applyBorder="1"/>
    <xf numFmtId="0" fontId="0" fillId="0" borderId="36" xfId="0" applyBorder="1"/>
    <xf numFmtId="49" fontId="7" fillId="0" borderId="43" xfId="5" applyNumberFormat="1" applyBorder="1"/>
    <xf numFmtId="0" fontId="0" fillId="0" borderId="37" xfId="0" applyBorder="1"/>
    <xf numFmtId="9" fontId="0" fillId="0" borderId="0" xfId="0" applyNumberFormat="1"/>
    <xf numFmtId="0" fontId="5" fillId="10" borderId="26" xfId="5" applyFont="1" applyFill="1" applyBorder="1"/>
    <xf numFmtId="0" fontId="5" fillId="10" borderId="26" xfId="5" applyFont="1" applyFill="1" applyBorder="1" applyAlignment="1">
      <alignment horizontal="center"/>
    </xf>
    <xf numFmtId="10" fontId="13" fillId="7" borderId="0" xfId="2" applyNumberFormat="1" applyFont="1" applyFill="1" applyBorder="1" applyAlignment="1">
      <alignment horizontal="center"/>
    </xf>
    <xf numFmtId="10" fontId="13" fillId="8" borderId="0" xfId="2" applyNumberFormat="1" applyFont="1" applyFill="1" applyBorder="1" applyAlignment="1">
      <alignment horizontal="center"/>
    </xf>
    <xf numFmtId="0" fontId="6" fillId="10" borderId="34" xfId="5" applyFont="1" applyFill="1" applyBorder="1" applyAlignment="1">
      <alignment horizontal="center"/>
    </xf>
    <xf numFmtId="0" fontId="13" fillId="0" borderId="31" xfId="0" applyFont="1" applyBorder="1" applyAlignment="1">
      <alignment wrapText="1"/>
    </xf>
    <xf numFmtId="0" fontId="0" fillId="0" borderId="32" xfId="0" applyBorder="1" applyAlignment="1">
      <alignment horizontal="center"/>
    </xf>
    <xf numFmtId="0" fontId="15" fillId="0" borderId="28" xfId="0" applyFont="1" applyBorder="1"/>
    <xf numFmtId="0" fontId="5" fillId="10" borderId="34" xfId="5" applyFont="1" applyFill="1" applyBorder="1"/>
    <xf numFmtId="170" fontId="0" fillId="0" borderId="36" xfId="0" applyNumberFormat="1" applyBorder="1"/>
    <xf numFmtId="0" fontId="15" fillId="0" borderId="36" xfId="0" applyFont="1" applyBorder="1" applyAlignment="1">
      <alignment horizontal="right"/>
    </xf>
    <xf numFmtId="170" fontId="15" fillId="0" borderId="36" xfId="0" applyNumberFormat="1" applyFont="1" applyBorder="1"/>
    <xf numFmtId="170" fontId="15" fillId="0" borderId="37" xfId="0" applyNumberFormat="1" applyFont="1" applyBorder="1"/>
    <xf numFmtId="0" fontId="13" fillId="0" borderId="4" xfId="0" applyFont="1" applyBorder="1"/>
    <xf numFmtId="170" fontId="0" fillId="0" borderId="4" xfId="0" applyNumberFormat="1" applyBorder="1"/>
    <xf numFmtId="170" fontId="0" fillId="0" borderId="44" xfId="0" applyNumberFormat="1" applyBorder="1"/>
    <xf numFmtId="0" fontId="15" fillId="0" borderId="0" xfId="0" applyFont="1" applyAlignment="1">
      <alignment horizontal="right"/>
    </xf>
    <xf numFmtId="170" fontId="15" fillId="0" borderId="32" xfId="0" applyNumberFormat="1" applyFont="1" applyBorder="1"/>
    <xf numFmtId="0" fontId="15" fillId="0" borderId="36" xfId="0" applyFont="1" applyBorder="1"/>
    <xf numFmtId="0" fontId="15" fillId="0" borderId="37" xfId="0" applyFont="1" applyBorder="1"/>
    <xf numFmtId="171" fontId="0" fillId="0" borderId="4" xfId="0" applyNumberFormat="1" applyBorder="1"/>
    <xf numFmtId="171" fontId="0" fillId="0" borderId="44" xfId="0" applyNumberFormat="1" applyBorder="1"/>
    <xf numFmtId="170" fontId="0" fillId="0" borderId="0" xfId="2" applyNumberFormat="1" applyFont="1" applyAlignment="1">
      <alignment horizontal="center"/>
    </xf>
    <xf numFmtId="10" fontId="0" fillId="9" borderId="2" xfId="2" applyNumberFormat="1" applyFont="1" applyFill="1" applyBorder="1" applyAlignment="1">
      <alignment horizontal="center"/>
    </xf>
    <xf numFmtId="10" fontId="0" fillId="9" borderId="11" xfId="2" applyNumberFormat="1" applyFont="1" applyFill="1" applyBorder="1" applyAlignment="1">
      <alignment horizontal="center"/>
    </xf>
    <xf numFmtId="170" fontId="0" fillId="0" borderId="2" xfId="0" applyNumberFormat="1" applyBorder="1"/>
    <xf numFmtId="170" fontId="0" fillId="0" borderId="11" xfId="0" applyNumberFormat="1" applyBorder="1"/>
    <xf numFmtId="170" fontId="0" fillId="0" borderId="12" xfId="0" applyNumberFormat="1" applyBorder="1"/>
    <xf numFmtId="170" fontId="0" fillId="0" borderId="13" xfId="0" applyNumberFormat="1" applyBorder="1"/>
    <xf numFmtId="10" fontId="0" fillId="8" borderId="2" xfId="2" applyNumberFormat="1" applyFont="1" applyFill="1" applyBorder="1" applyAlignment="1">
      <alignment horizontal="center"/>
    </xf>
    <xf numFmtId="10" fontId="0" fillId="8" borderId="11" xfId="2" applyNumberFormat="1" applyFont="1" applyFill="1" applyBorder="1" applyAlignment="1">
      <alignment horizontal="center"/>
    </xf>
    <xf numFmtId="10" fontId="13" fillId="8" borderId="11" xfId="2" applyNumberFormat="1" applyFont="1" applyFill="1" applyBorder="1" applyAlignment="1">
      <alignment horizontal="center"/>
    </xf>
    <xf numFmtId="38" fontId="6" fillId="2" borderId="0" xfId="8" applyNumberFormat="1" applyFill="1" applyAlignment="1">
      <alignment horizontal="center"/>
    </xf>
    <xf numFmtId="0" fontId="13" fillId="0" borderId="35" xfId="0" applyFont="1" applyBorder="1"/>
    <xf numFmtId="0" fontId="7" fillId="10" borderId="0" xfId="5" applyFill="1"/>
    <xf numFmtId="164" fontId="0" fillId="0" borderId="0" xfId="2" applyNumberFormat="1" applyFont="1" applyBorder="1" applyAlignment="1">
      <alignment horizontal="center"/>
    </xf>
    <xf numFmtId="9" fontId="0" fillId="0" borderId="0" xfId="2" applyFont="1" applyBorder="1"/>
    <xf numFmtId="1" fontId="0" fillId="0" borderId="32" xfId="0" applyNumberFormat="1" applyBorder="1" applyAlignment="1">
      <alignment horizontal="center"/>
    </xf>
    <xf numFmtId="0" fontId="0" fillId="0" borderId="0" xfId="0" applyAlignment="1">
      <alignment wrapText="1"/>
    </xf>
    <xf numFmtId="9" fontId="0" fillId="0" borderId="0" xfId="2" applyFont="1" applyBorder="1" applyAlignment="1">
      <alignment horizontal="center"/>
    </xf>
    <xf numFmtId="9" fontId="0" fillId="0" borderId="32" xfId="2" applyFont="1" applyBorder="1" applyAlignment="1">
      <alignment horizontal="center"/>
    </xf>
    <xf numFmtId="9" fontId="0" fillId="0" borderId="32" xfId="0" applyNumberFormat="1" applyBorder="1" applyAlignment="1">
      <alignment horizontal="center"/>
    </xf>
    <xf numFmtId="170" fontId="0" fillId="0" borderId="32" xfId="2" applyNumberFormat="1" applyFont="1" applyBorder="1" applyAlignment="1">
      <alignment horizontal="center"/>
    </xf>
    <xf numFmtId="170" fontId="0" fillId="0" borderId="37" xfId="2" applyNumberFormat="1" applyFont="1" applyBorder="1" applyAlignment="1">
      <alignment horizontal="center"/>
    </xf>
    <xf numFmtId="0" fontId="13" fillId="0" borderId="32" xfId="0" applyFont="1" applyBorder="1" applyAlignment="1">
      <alignment horizontal="center"/>
    </xf>
    <xf numFmtId="0" fontId="8" fillId="0" borderId="1" xfId="3" applyAlignment="1"/>
    <xf numFmtId="0" fontId="25" fillId="0" borderId="31" xfId="0" applyFont="1" applyBorder="1" applyAlignment="1">
      <alignment horizontal="center"/>
    </xf>
    <xf numFmtId="0" fontId="25" fillId="0" borderId="0" xfId="0" applyFont="1" applyAlignment="1">
      <alignment horizontal="center"/>
    </xf>
    <xf numFmtId="0" fontId="25" fillId="0" borderId="32" xfId="0" applyFont="1" applyBorder="1" applyAlignment="1">
      <alignment horizontal="center"/>
    </xf>
    <xf numFmtId="0" fontId="27" fillId="0" borderId="31" xfId="0" applyFont="1" applyBorder="1"/>
    <xf numFmtId="170" fontId="27" fillId="0" borderId="0" xfId="0" applyNumberFormat="1" applyFont="1" applyAlignment="1">
      <alignment horizontal="center"/>
    </xf>
    <xf numFmtId="0" fontId="27" fillId="0" borderId="0" xfId="0" applyFont="1"/>
    <xf numFmtId="0" fontId="22" fillId="0" borderId="0" xfId="0" applyFont="1" applyAlignment="1">
      <alignment horizontal="center"/>
    </xf>
    <xf numFmtId="0" fontId="27" fillId="0" borderId="33" xfId="0" applyFont="1" applyBorder="1"/>
    <xf numFmtId="170" fontId="27" fillId="0" borderId="4" xfId="0" applyNumberFormat="1" applyFont="1" applyBorder="1" applyAlignment="1">
      <alignment horizontal="center"/>
    </xf>
    <xf numFmtId="0" fontId="22" fillId="0" borderId="4" xfId="0" applyFont="1" applyBorder="1" applyAlignment="1">
      <alignment horizontal="center"/>
    </xf>
    <xf numFmtId="0" fontId="25" fillId="0" borderId="44" xfId="0" applyFont="1" applyBorder="1" applyAlignment="1">
      <alignment horizontal="center"/>
    </xf>
    <xf numFmtId="171" fontId="27" fillId="0" borderId="0" xfId="0" applyNumberFormat="1" applyFont="1" applyAlignment="1">
      <alignment horizontal="center"/>
    </xf>
    <xf numFmtId="171" fontId="13" fillId="0" borderId="0" xfId="0" applyNumberFormat="1" applyFont="1" applyAlignment="1">
      <alignment horizontal="center"/>
    </xf>
    <xf numFmtId="0" fontId="0" fillId="0" borderId="4" xfId="0" applyBorder="1"/>
    <xf numFmtId="171" fontId="0" fillId="0" borderId="4" xfId="0" applyNumberFormat="1" applyBorder="1" applyAlignment="1">
      <alignment horizontal="center"/>
    </xf>
    <xf numFmtId="9" fontId="15" fillId="0" borderId="0" xfId="2" applyFont="1"/>
    <xf numFmtId="0" fontId="17" fillId="0" borderId="0" xfId="0" applyFont="1" applyAlignment="1">
      <alignment wrapText="1"/>
    </xf>
    <xf numFmtId="172" fontId="0" fillId="0" borderId="0" xfId="0" applyNumberFormat="1" applyAlignment="1">
      <alignment horizontal="center"/>
    </xf>
    <xf numFmtId="0" fontId="4" fillId="10" borderId="26" xfId="5" applyFont="1" applyFill="1" applyBorder="1" applyAlignment="1">
      <alignment horizontal="center"/>
    </xf>
    <xf numFmtId="0" fontId="31" fillId="0" borderId="0" xfId="0" applyFont="1"/>
    <xf numFmtId="170" fontId="15" fillId="0" borderId="0" xfId="0" applyNumberFormat="1" applyFont="1"/>
    <xf numFmtId="15" fontId="0" fillId="0" borderId="0" xfId="0" applyNumberFormat="1"/>
    <xf numFmtId="0" fontId="25" fillId="0" borderId="4" xfId="0" applyFont="1" applyBorder="1" applyAlignment="1">
      <alignment horizontal="center"/>
    </xf>
    <xf numFmtId="0" fontId="25" fillId="0" borderId="33" xfId="0" applyFont="1" applyBorder="1"/>
    <xf numFmtId="0" fontId="25" fillId="0" borderId="4" xfId="0" applyFont="1" applyBorder="1"/>
    <xf numFmtId="0" fontId="25" fillId="0" borderId="44" xfId="0" applyFont="1" applyBorder="1"/>
    <xf numFmtId="0" fontId="3" fillId="0" borderId="0" xfId="10"/>
    <xf numFmtId="0" fontId="9" fillId="0" borderId="45" xfId="10" applyFont="1" applyBorder="1" applyAlignment="1">
      <alignment wrapText="1"/>
    </xf>
    <xf numFmtId="0" fontId="9" fillId="0" borderId="46" xfId="10" applyFont="1" applyBorder="1" applyAlignment="1">
      <alignment wrapText="1"/>
    </xf>
    <xf numFmtId="0" fontId="9" fillId="0" borderId="47" xfId="10" applyFont="1" applyBorder="1" applyAlignment="1">
      <alignment wrapText="1"/>
    </xf>
    <xf numFmtId="0" fontId="3" fillId="0" borderId="31" xfId="10" applyBorder="1"/>
    <xf numFmtId="0" fontId="3" fillId="0" borderId="32" xfId="10" applyBorder="1"/>
    <xf numFmtId="0" fontId="9" fillId="0" borderId="31" xfId="10" applyFont="1" applyBorder="1"/>
    <xf numFmtId="0" fontId="9" fillId="0" borderId="32" xfId="10" applyFont="1" applyBorder="1" applyAlignment="1">
      <alignment horizontal="center" wrapText="1"/>
    </xf>
    <xf numFmtId="6" fontId="3" fillId="0" borderId="32" xfId="10" applyNumberFormat="1" applyBorder="1" applyAlignment="1">
      <alignment horizontal="center"/>
    </xf>
    <xf numFmtId="0" fontId="3" fillId="0" borderId="31" xfId="10" applyBorder="1" applyAlignment="1" applyProtection="1">
      <alignment horizontal="left" wrapText="1"/>
      <protection locked="0"/>
    </xf>
    <xf numFmtId="6" fontId="9" fillId="0" borderId="32" xfId="10" applyNumberFormat="1" applyFont="1" applyBorder="1" applyAlignment="1">
      <alignment horizontal="center"/>
    </xf>
    <xf numFmtId="0" fontId="3" fillId="0" borderId="31" xfId="10" applyBorder="1" applyAlignment="1" applyProtection="1">
      <alignment wrapText="1"/>
      <protection locked="0"/>
    </xf>
    <xf numFmtId="0" fontId="3" fillId="0" borderId="32" xfId="10" applyBorder="1" applyAlignment="1" applyProtection="1">
      <alignment wrapText="1"/>
      <protection locked="0"/>
    </xf>
    <xf numFmtId="0" fontId="3" fillId="0" borderId="35" xfId="10" applyBorder="1" applyAlignment="1" applyProtection="1">
      <alignment wrapText="1"/>
      <protection locked="0"/>
    </xf>
    <xf numFmtId="0" fontId="3" fillId="0" borderId="36" xfId="10" applyBorder="1" applyAlignment="1" applyProtection="1">
      <alignment wrapText="1"/>
      <protection locked="0"/>
    </xf>
    <xf numFmtId="0" fontId="3" fillId="0" borderId="37" xfId="10" applyBorder="1" applyAlignment="1" applyProtection="1">
      <alignment wrapText="1"/>
      <protection locked="0"/>
    </xf>
    <xf numFmtId="0" fontId="9" fillId="0" borderId="0" xfId="10" applyFont="1" applyAlignment="1">
      <alignment horizontal="center" wrapText="1"/>
    </xf>
    <xf numFmtId="0" fontId="9" fillId="0" borderId="0" xfId="10" applyFont="1" applyAlignment="1">
      <alignment horizontal="center"/>
    </xf>
    <xf numFmtId="7" fontId="3" fillId="0" borderId="0" xfId="10" applyNumberFormat="1" applyAlignment="1">
      <alignment horizontal="center"/>
    </xf>
    <xf numFmtId="5" fontId="3" fillId="0" borderId="0" xfId="10" applyNumberFormat="1" applyAlignment="1">
      <alignment horizontal="center"/>
    </xf>
    <xf numFmtId="10" fontId="0" fillId="7" borderId="31" xfId="2" applyNumberFormat="1" applyFont="1" applyFill="1" applyBorder="1" applyAlignment="1">
      <alignment horizontal="center"/>
    </xf>
    <xf numFmtId="7" fontId="3" fillId="0" borderId="0" xfId="10" applyNumberFormat="1"/>
    <xf numFmtId="10" fontId="0" fillId="8" borderId="31" xfId="2" applyNumberFormat="1" applyFont="1" applyFill="1" applyBorder="1" applyAlignment="1">
      <alignment horizontal="center"/>
    </xf>
    <xf numFmtId="10" fontId="0" fillId="9" borderId="31" xfId="2" applyNumberFormat="1" applyFont="1" applyFill="1" applyBorder="1" applyAlignment="1">
      <alignment horizontal="center"/>
    </xf>
    <xf numFmtId="0" fontId="4" fillId="10" borderId="50" xfId="5" applyFont="1" applyFill="1" applyBorder="1" applyAlignment="1">
      <alignment horizontal="center"/>
    </xf>
    <xf numFmtId="0" fontId="3" fillId="0" borderId="0" xfId="10" applyAlignment="1" applyProtection="1">
      <alignment wrapText="1"/>
      <protection locked="0"/>
    </xf>
    <xf numFmtId="9" fontId="0" fillId="8" borderId="0" xfId="2" applyFont="1" applyFill="1" applyBorder="1" applyAlignment="1">
      <alignment horizontal="center"/>
    </xf>
    <xf numFmtId="0" fontId="13" fillId="0" borderId="0" xfId="13"/>
    <xf numFmtId="0" fontId="15" fillId="16" borderId="0" xfId="13" applyFont="1" applyFill="1"/>
    <xf numFmtId="0" fontId="15" fillId="0" borderId="28" xfId="13" applyFont="1" applyBorder="1"/>
    <xf numFmtId="0" fontId="13" fillId="16" borderId="16" xfId="13" applyFill="1" applyBorder="1" applyProtection="1">
      <protection locked="0"/>
    </xf>
    <xf numFmtId="0" fontId="13" fillId="0" borderId="31" xfId="13" applyBorder="1"/>
    <xf numFmtId="0" fontId="13" fillId="0" borderId="32" xfId="13" applyBorder="1" applyAlignment="1">
      <alignment horizontal="center"/>
    </xf>
    <xf numFmtId="0" fontId="15" fillId="0" borderId="31" xfId="13" applyFont="1" applyBorder="1"/>
    <xf numFmtId="0" fontId="13" fillId="16" borderId="32" xfId="13" applyFill="1" applyBorder="1" applyAlignment="1" applyProtection="1">
      <alignment horizontal="center"/>
      <protection locked="0"/>
    </xf>
    <xf numFmtId="0" fontId="13" fillId="0" borderId="32" xfId="13" applyBorder="1"/>
    <xf numFmtId="0" fontId="15" fillId="0" borderId="35" xfId="13" applyFont="1" applyBorder="1"/>
    <xf numFmtId="0" fontId="32" fillId="0" borderId="0" xfId="13" applyFont="1"/>
    <xf numFmtId="0" fontId="13" fillId="11" borderId="28" xfId="13" applyFill="1" applyBorder="1"/>
    <xf numFmtId="0" fontId="11" fillId="0" borderId="4" xfId="0" applyFont="1" applyBorder="1" applyAlignment="1">
      <alignment horizontal="center"/>
    </xf>
    <xf numFmtId="0" fontId="11" fillId="0" borderId="0" xfId="0" applyFont="1" applyAlignment="1">
      <alignment horizontal="center"/>
    </xf>
    <xf numFmtId="0" fontId="15" fillId="0" borderId="38" xfId="0" applyFont="1" applyBorder="1" applyAlignment="1">
      <alignment horizontal="center"/>
    </xf>
    <xf numFmtId="0" fontId="13" fillId="0" borderId="0" xfId="0" applyFont="1" applyAlignment="1">
      <alignment horizontal="center" wrapText="1"/>
    </xf>
    <xf numFmtId="0" fontId="13" fillId="0" borderId="45" xfId="0" applyFont="1" applyBorder="1" applyAlignment="1">
      <alignment horizontal="center" wrapText="1"/>
    </xf>
    <xf numFmtId="0" fontId="13" fillId="0" borderId="46" xfId="0" applyFont="1" applyBorder="1" applyAlignment="1">
      <alignment horizontal="center" wrapText="1"/>
    </xf>
    <xf numFmtId="0" fontId="13" fillId="0" borderId="47" xfId="0" applyFont="1" applyBorder="1" applyAlignment="1">
      <alignment horizontal="center" wrapText="1"/>
    </xf>
    <xf numFmtId="0" fontId="13" fillId="0" borderId="0" xfId="0" applyFont="1" applyAlignment="1">
      <alignment horizontal="left" wrapText="1"/>
    </xf>
    <xf numFmtId="0" fontId="22" fillId="0" borderId="8" xfId="0" applyFont="1" applyBorder="1" applyAlignment="1">
      <alignment horizontal="center"/>
    </xf>
    <xf numFmtId="0" fontId="22" fillId="0" borderId="10" xfId="0" applyFont="1" applyBorder="1" applyAlignment="1">
      <alignment horizontal="center"/>
    </xf>
    <xf numFmtId="0" fontId="22" fillId="0" borderId="9" xfId="0" applyFont="1" applyBorder="1" applyAlignment="1">
      <alignment horizontal="center"/>
    </xf>
    <xf numFmtId="0" fontId="13" fillId="0" borderId="0" xfId="13" applyAlignment="1">
      <alignment horizontal="center"/>
    </xf>
    <xf numFmtId="0" fontId="6" fillId="10" borderId="26" xfId="5" applyFont="1" applyFill="1" applyBorder="1" applyAlignment="1">
      <alignment wrapText="1"/>
    </xf>
    <xf numFmtId="10" fontId="0" fillId="7" borderId="0" xfId="2" applyNumberFormat="1" applyFont="1" applyFill="1" applyBorder="1" applyAlignment="1">
      <alignment horizontal="center" wrapText="1"/>
    </xf>
    <xf numFmtId="10" fontId="0" fillId="8" borderId="0" xfId="2" applyNumberFormat="1" applyFont="1" applyFill="1" applyBorder="1" applyAlignment="1">
      <alignment horizontal="center" wrapText="1"/>
    </xf>
    <xf numFmtId="10" fontId="13" fillId="8" borderId="0" xfId="2" applyNumberFormat="1" applyFont="1" applyFill="1" applyBorder="1" applyAlignment="1">
      <alignment horizontal="center" wrapText="1"/>
    </xf>
    <xf numFmtId="10" fontId="0" fillId="9" borderId="0" xfId="2" applyNumberFormat="1" applyFont="1" applyFill="1" applyBorder="1" applyAlignment="1">
      <alignment horizontal="center" wrapText="1"/>
    </xf>
    <xf numFmtId="0" fontId="23" fillId="0" borderId="31" xfId="0" applyFont="1" applyBorder="1" applyAlignment="1">
      <alignment horizontal="center"/>
    </xf>
    <xf numFmtId="0" fontId="23" fillId="0" borderId="32" xfId="0" applyFont="1" applyBorder="1" applyAlignment="1">
      <alignment horizontal="center"/>
    </xf>
    <xf numFmtId="0" fontId="25" fillId="0" borderId="0" xfId="0" applyFont="1"/>
    <xf numFmtId="0" fontId="13" fillId="0" borderId="2" xfId="0" applyFont="1" applyBorder="1"/>
    <xf numFmtId="0" fontId="13" fillId="0" borderId="12" xfId="0" applyFont="1" applyBorder="1"/>
    <xf numFmtId="9" fontId="0" fillId="0" borderId="4" xfId="0" applyNumberFormat="1" applyBorder="1"/>
    <xf numFmtId="0" fontId="0" fillId="0" borderId="13" xfId="0" applyBorder="1"/>
    <xf numFmtId="0" fontId="13" fillId="0" borderId="33" xfId="0" applyFont="1" applyBorder="1"/>
    <xf numFmtId="0" fontId="0" fillId="0" borderId="31" xfId="0" applyBorder="1" applyAlignment="1">
      <alignment wrapText="1"/>
    </xf>
    <xf numFmtId="0" fontId="0" fillId="0" borderId="2" xfId="0" applyBorder="1"/>
    <xf numFmtId="0" fontId="13" fillId="0" borderId="0" xfId="0" applyFont="1" applyAlignment="1">
      <alignment wrapText="1"/>
    </xf>
    <xf numFmtId="10" fontId="13" fillId="7" borderId="0" xfId="2" applyNumberFormat="1" applyFont="1" applyFill="1" applyBorder="1" applyAlignment="1">
      <alignment horizontal="center" wrapText="1"/>
    </xf>
    <xf numFmtId="0" fontId="5" fillId="10" borderId="26" xfId="5" applyFont="1" applyFill="1" applyBorder="1" applyAlignment="1">
      <alignment horizontal="center" wrapText="1"/>
    </xf>
    <xf numFmtId="0" fontId="6" fillId="10" borderId="34" xfId="5" applyFont="1" applyFill="1" applyBorder="1" applyAlignment="1">
      <alignment horizontal="center" wrapText="1"/>
    </xf>
    <xf numFmtId="0" fontId="0" fillId="0" borderId="8"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9" fillId="0" borderId="51" xfId="0" applyFont="1" applyBorder="1" applyAlignment="1">
      <alignment horizontal="center"/>
    </xf>
    <xf numFmtId="0" fontId="13" fillId="0" borderId="10" xfId="0" applyFont="1" applyBorder="1" applyAlignment="1">
      <alignment horizontal="center" wrapText="1"/>
    </xf>
    <xf numFmtId="0" fontId="13" fillId="11" borderId="29" xfId="13" applyFill="1" applyBorder="1"/>
    <xf numFmtId="0" fontId="13" fillId="11" borderId="30" xfId="13" applyFill="1" applyBorder="1"/>
    <xf numFmtId="10" fontId="13" fillId="12" borderId="0" xfId="2" applyNumberFormat="1" applyFont="1" applyFill="1" applyBorder="1" applyAlignment="1">
      <alignment horizontal="center"/>
    </xf>
    <xf numFmtId="10" fontId="0" fillId="12" borderId="0" xfId="2" applyNumberFormat="1" applyFont="1" applyFill="1" applyBorder="1" applyAlignment="1">
      <alignment horizontal="center"/>
    </xf>
    <xf numFmtId="1" fontId="13" fillId="12" borderId="32" xfId="13" applyNumberFormat="1" applyFill="1" applyBorder="1" applyAlignment="1">
      <alignment horizontal="center"/>
    </xf>
    <xf numFmtId="170" fontId="13" fillId="12" borderId="32" xfId="13" applyNumberFormat="1" applyFill="1" applyBorder="1"/>
    <xf numFmtId="171" fontId="13" fillId="12" borderId="32" xfId="13" applyNumberFormat="1" applyFill="1" applyBorder="1"/>
    <xf numFmtId="170" fontId="15" fillId="12" borderId="36" xfId="13" applyNumberFormat="1" applyFont="1" applyFill="1" applyBorder="1"/>
    <xf numFmtId="170" fontId="15" fillId="12" borderId="37" xfId="13" applyNumberFormat="1" applyFont="1" applyFill="1" applyBorder="1"/>
    <xf numFmtId="0" fontId="24" fillId="0" borderId="0" xfId="13" applyFont="1"/>
    <xf numFmtId="0" fontId="24" fillId="11" borderId="29" xfId="13" applyFont="1" applyFill="1" applyBorder="1"/>
    <xf numFmtId="0" fontId="13" fillId="12" borderId="31" xfId="13" applyFill="1" applyBorder="1"/>
    <xf numFmtId="0" fontId="32" fillId="12" borderId="31" xfId="13" applyFont="1" applyFill="1" applyBorder="1"/>
    <xf numFmtId="0" fontId="13" fillId="12" borderId="35" xfId="13" applyFill="1" applyBorder="1"/>
    <xf numFmtId="0" fontId="30" fillId="0" borderId="29" xfId="0" applyFont="1" applyBorder="1" applyAlignment="1">
      <alignment wrapText="1"/>
    </xf>
    <xf numFmtId="0" fontId="30" fillId="0" borderId="30" xfId="0" applyFont="1" applyBorder="1" applyAlignment="1">
      <alignment wrapText="1"/>
    </xf>
    <xf numFmtId="0" fontId="24" fillId="0" borderId="0" xfId="0" applyFont="1" applyAlignment="1">
      <alignment horizontal="center" wrapText="1"/>
    </xf>
    <xf numFmtId="0" fontId="0" fillId="0" borderId="28" xfId="0" applyBorder="1"/>
    <xf numFmtId="0" fontId="23" fillId="0" borderId="0" xfId="0" applyFont="1" applyAlignment="1">
      <alignment horizontal="center"/>
    </xf>
    <xf numFmtId="9" fontId="0" fillId="16" borderId="0" xfId="0" applyNumberFormat="1" applyFill="1" applyAlignment="1">
      <alignment horizontal="center"/>
    </xf>
    <xf numFmtId="0" fontId="15" fillId="0" borderId="9" xfId="0" applyFont="1" applyBorder="1"/>
    <xf numFmtId="0" fontId="0" fillId="0" borderId="10" xfId="0" applyBorder="1"/>
    <xf numFmtId="0" fontId="0" fillId="0" borderId="11" xfId="0" applyBorder="1" applyAlignment="1">
      <alignment wrapText="1"/>
    </xf>
    <xf numFmtId="9" fontId="0" fillId="17" borderId="52" xfId="0" applyNumberFormat="1" applyFill="1" applyBorder="1" applyAlignment="1">
      <alignment horizontal="center"/>
    </xf>
    <xf numFmtId="9" fontId="0" fillId="16" borderId="11" xfId="0" applyNumberFormat="1" applyFill="1" applyBorder="1" applyAlignment="1">
      <alignment horizontal="center"/>
    </xf>
    <xf numFmtId="9" fontId="0" fillId="16" borderId="4" xfId="0" applyNumberFormat="1" applyFill="1" applyBorder="1" applyAlignment="1">
      <alignment horizontal="center"/>
    </xf>
    <xf numFmtId="9" fontId="0" fillId="16" borderId="13" xfId="0" applyNumberFormat="1" applyFill="1" applyBorder="1" applyAlignment="1">
      <alignment horizontal="center"/>
    </xf>
    <xf numFmtId="0" fontId="9" fillId="0" borderId="0" xfId="10" applyFont="1"/>
    <xf numFmtId="0" fontId="9" fillId="0" borderId="32" xfId="10" applyFont="1" applyBorder="1"/>
    <xf numFmtId="0" fontId="25" fillId="0" borderId="45" xfId="0" applyFont="1" applyBorder="1"/>
    <xf numFmtId="0" fontId="25" fillId="0" borderId="46" xfId="0" applyFont="1" applyBorder="1"/>
    <xf numFmtId="0" fontId="25" fillId="0" borderId="47" xfId="0" applyFont="1" applyBorder="1"/>
    <xf numFmtId="0" fontId="23" fillId="0" borderId="28" xfId="0" applyFont="1" applyBorder="1"/>
    <xf numFmtId="0" fontId="23" fillId="0" borderId="29" xfId="0" applyFont="1" applyBorder="1"/>
    <xf numFmtId="0" fontId="23" fillId="0" borderId="30" xfId="0" applyFont="1" applyBorder="1"/>
    <xf numFmtId="0" fontId="21" fillId="0" borderId="29" xfId="0" applyFont="1" applyBorder="1" applyAlignment="1">
      <alignment vertical="center" wrapText="1"/>
    </xf>
    <xf numFmtId="0" fontId="21" fillId="0" borderId="30" xfId="0" applyFont="1" applyBorder="1" applyAlignment="1">
      <alignment vertical="center" wrapText="1"/>
    </xf>
    <xf numFmtId="0" fontId="13" fillId="0" borderId="31" xfId="0" applyFont="1" applyBorder="1" applyAlignment="1">
      <alignment horizontal="center" wrapText="1"/>
    </xf>
    <xf numFmtId="0" fontId="21" fillId="0" borderId="0" xfId="0" applyFont="1" applyAlignment="1">
      <alignment vertical="center" wrapText="1"/>
    </xf>
    <xf numFmtId="0" fontId="21" fillId="0" borderId="32" xfId="0" applyFont="1" applyBorder="1" applyAlignment="1">
      <alignment vertical="center" wrapText="1"/>
    </xf>
    <xf numFmtId="0" fontId="6" fillId="10" borderId="34" xfId="5" applyFont="1" applyFill="1" applyBorder="1" applyAlignment="1">
      <alignment wrapText="1"/>
    </xf>
    <xf numFmtId="17" fontId="0" fillId="0" borderId="31" xfId="0" applyNumberFormat="1" applyBorder="1"/>
    <xf numFmtId="17" fontId="13" fillId="0" borderId="31" xfId="0" applyNumberFormat="1" applyFont="1" applyBorder="1" applyAlignment="1">
      <alignment horizontal="right"/>
    </xf>
    <xf numFmtId="169" fontId="0" fillId="0" borderId="32" xfId="0" applyNumberFormat="1" applyBorder="1" applyAlignment="1">
      <alignment horizontal="center"/>
    </xf>
    <xf numFmtId="8" fontId="27" fillId="0" borderId="0" xfId="0" applyNumberFormat="1" applyFont="1" applyAlignment="1">
      <alignment horizontal="left" wrapText="1"/>
    </xf>
    <xf numFmtId="9" fontId="21" fillId="0" borderId="0" xfId="0" applyNumberFormat="1" applyFont="1" applyAlignment="1">
      <alignment horizontal="center"/>
    </xf>
    <xf numFmtId="0" fontId="26" fillId="0" borderId="0" xfId="0" applyFont="1"/>
    <xf numFmtId="170" fontId="26" fillId="0" borderId="0" xfId="0" applyNumberFormat="1" applyFont="1" applyAlignment="1">
      <alignment horizontal="center"/>
    </xf>
    <xf numFmtId="0" fontId="26" fillId="0" borderId="0" xfId="0" applyFont="1" applyAlignment="1">
      <alignment horizontal="left" indent="1"/>
    </xf>
    <xf numFmtId="1" fontId="26" fillId="0" borderId="0" xfId="0" applyNumberFormat="1" applyFont="1" applyAlignment="1">
      <alignment horizontal="center"/>
    </xf>
    <xf numFmtId="0" fontId="26" fillId="0" borderId="0" xfId="0" applyFont="1" applyAlignment="1">
      <alignment horizontal="left" wrapText="1" indent="1"/>
    </xf>
    <xf numFmtId="165" fontId="0" fillId="0" borderId="2" xfId="0" applyNumberFormat="1" applyBorder="1" applyAlignment="1">
      <alignment horizontal="left" indent="2"/>
    </xf>
    <xf numFmtId="0" fontId="33" fillId="12" borderId="11" xfId="0" applyFont="1" applyFill="1" applyBorder="1"/>
    <xf numFmtId="0" fontId="33" fillId="12" borderId="0" xfId="0" applyFont="1" applyFill="1"/>
    <xf numFmtId="165" fontId="0" fillId="0" borderId="5" xfId="0" applyNumberFormat="1" applyBorder="1" applyAlignment="1">
      <alignment horizontal="left" indent="1"/>
    </xf>
    <xf numFmtId="165" fontId="0" fillId="0" borderId="2" xfId="0" applyNumberFormat="1" applyBorder="1" applyAlignment="1">
      <alignment horizontal="left" indent="1"/>
    </xf>
    <xf numFmtId="170" fontId="0" fillId="12" borderId="0" xfId="0" applyNumberFormat="1" applyFill="1" applyAlignment="1">
      <alignment horizontal="center"/>
    </xf>
    <xf numFmtId="0" fontId="26" fillId="0" borderId="0" xfId="0" applyFont="1" applyAlignment="1">
      <alignment wrapText="1"/>
    </xf>
    <xf numFmtId="170" fontId="15" fillId="17" borderId="37" xfId="13" applyNumberFormat="1" applyFont="1" applyFill="1" applyBorder="1" applyAlignment="1">
      <alignment horizontal="center"/>
    </xf>
    <xf numFmtId="0" fontId="13" fillId="0" borderId="29" xfId="0" applyFont="1" applyBorder="1" applyAlignment="1">
      <alignment wrapText="1"/>
    </xf>
    <xf numFmtId="1" fontId="0" fillId="0" borderId="29" xfId="0" applyNumberFormat="1" applyBorder="1" applyAlignment="1">
      <alignment horizontal="center" wrapText="1"/>
    </xf>
    <xf numFmtId="1" fontId="0" fillId="0" borderId="30" xfId="0" applyNumberFormat="1" applyBorder="1" applyAlignment="1">
      <alignment horizontal="center" wrapText="1"/>
    </xf>
    <xf numFmtId="9" fontId="0" fillId="0" borderId="36" xfId="2" applyFon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2" borderId="11" xfId="0" applyFill="1" applyBorder="1" applyAlignment="1">
      <alignment horizontal="center"/>
    </xf>
    <xf numFmtId="0" fontId="7" fillId="2" borderId="11" xfId="5" applyFill="1" applyBorder="1" applyAlignment="1">
      <alignment horizontal="center"/>
    </xf>
    <xf numFmtId="0" fontId="27" fillId="2" borderId="3" xfId="0" applyFont="1" applyFill="1" applyBorder="1" applyAlignment="1">
      <alignment horizontal="center"/>
    </xf>
    <xf numFmtId="0" fontId="0" fillId="2" borderId="13" xfId="0" applyFill="1" applyBorder="1" applyAlignment="1">
      <alignment horizontal="center"/>
    </xf>
    <xf numFmtId="0" fontId="34" fillId="0" borderId="8" xfId="0" applyFont="1" applyBorder="1"/>
    <xf numFmtId="0" fontId="0" fillId="0" borderId="9" xfId="0" applyBorder="1"/>
    <xf numFmtId="0" fontId="21" fillId="0" borderId="2" xfId="0" applyFont="1" applyBorder="1"/>
    <xf numFmtId="0" fontId="15" fillId="0" borderId="4" xfId="0" applyFont="1" applyBorder="1"/>
    <xf numFmtId="9" fontId="0" fillId="2" borderId="0" xfId="0" applyNumberFormat="1" applyFill="1"/>
    <xf numFmtId="0" fontId="13" fillId="0" borderId="29" xfId="0" applyFont="1" applyBorder="1"/>
    <xf numFmtId="0" fontId="22" fillId="0" borderId="8" xfId="0" applyFont="1" applyBorder="1"/>
    <xf numFmtId="0" fontId="22" fillId="0" borderId="9" xfId="0" applyFont="1" applyBorder="1"/>
    <xf numFmtId="0" fontId="22" fillId="0" borderId="10" xfId="0" applyFont="1" applyBorder="1"/>
    <xf numFmtId="0" fontId="1" fillId="10" borderId="26" xfId="5" applyFont="1" applyFill="1" applyBorder="1"/>
    <xf numFmtId="0" fontId="1" fillId="10" borderId="34" xfId="5" applyFont="1" applyFill="1" applyBorder="1"/>
    <xf numFmtId="169" fontId="7" fillId="0" borderId="0" xfId="2" applyNumberFormat="1" applyFont="1" applyAlignment="1">
      <alignment horizontal="center"/>
    </xf>
    <xf numFmtId="0" fontId="36" fillId="0" borderId="0" xfId="0" applyFont="1" applyAlignment="1">
      <alignment horizontal="center"/>
    </xf>
    <xf numFmtId="1" fontId="13" fillId="12" borderId="0" xfId="13" applyNumberFormat="1" applyFill="1" applyAlignment="1">
      <alignment horizontal="center"/>
    </xf>
    <xf numFmtId="170" fontId="13" fillId="12" borderId="0" xfId="13" applyNumberFormat="1" applyFill="1"/>
    <xf numFmtId="171" fontId="13" fillId="12" borderId="0" xfId="13" applyNumberFormat="1" applyFill="1"/>
    <xf numFmtId="10" fontId="0" fillId="12" borderId="32" xfId="2" applyNumberFormat="1" applyFont="1" applyFill="1" applyBorder="1" applyAlignment="1">
      <alignment horizontal="center"/>
    </xf>
    <xf numFmtId="0" fontId="21" fillId="0" borderId="28" xfId="0" applyFont="1" applyBorder="1"/>
    <xf numFmtId="169" fontId="26" fillId="0" borderId="0" xfId="0" applyNumberFormat="1" applyFont="1" applyAlignment="1">
      <alignment horizontal="center"/>
    </xf>
    <xf numFmtId="16" fontId="0" fillId="0" borderId="0" xfId="0" applyNumberFormat="1"/>
    <xf numFmtId="0" fontId="19" fillId="13" borderId="0" xfId="0" applyFont="1" applyFill="1" applyAlignment="1">
      <alignment horizontal="center" wrapText="1"/>
    </xf>
    <xf numFmtId="0" fontId="0" fillId="0" borderId="0" xfId="0" applyAlignment="1">
      <alignment horizontal="center"/>
    </xf>
    <xf numFmtId="0" fontId="21" fillId="0" borderId="0" xfId="0" applyFont="1" applyAlignment="1">
      <alignment horizontal="center" wrapText="1"/>
    </xf>
    <xf numFmtId="0" fontId="21" fillId="0" borderId="0" xfId="0" applyFont="1" applyAlignment="1">
      <alignment horizontal="center"/>
    </xf>
    <xf numFmtId="0" fontId="22" fillId="14" borderId="0" xfId="0" applyFont="1" applyFill="1" applyAlignment="1">
      <alignment horizontal="center"/>
    </xf>
    <xf numFmtId="0" fontId="11" fillId="0" borderId="0" xfId="0" applyFont="1" applyAlignment="1">
      <alignment horizontal="center"/>
    </xf>
    <xf numFmtId="0" fontId="28" fillId="0" borderId="28" xfId="0" applyFont="1" applyBorder="1" applyAlignment="1">
      <alignment horizontal="center" vertical="center" textRotation="90"/>
    </xf>
    <xf numFmtId="0" fontId="28" fillId="0" borderId="31" xfId="0" applyFont="1" applyBorder="1" applyAlignment="1">
      <alignment horizontal="center" vertical="center" textRotation="90"/>
    </xf>
    <xf numFmtId="0" fontId="28" fillId="0" borderId="35" xfId="0" applyFont="1" applyBorder="1" applyAlignment="1">
      <alignment horizontal="center" vertical="center" textRotation="90"/>
    </xf>
    <xf numFmtId="0" fontId="21" fillId="0" borderId="31" xfId="0" applyFont="1" applyBorder="1" applyAlignment="1">
      <alignment horizontal="center" wrapText="1"/>
    </xf>
    <xf numFmtId="0" fontId="15" fillId="15" borderId="0" xfId="0" applyFont="1" applyFill="1" applyAlignment="1">
      <alignment horizontal="center"/>
    </xf>
    <xf numFmtId="0" fontId="22" fillId="0" borderId="8" xfId="0" applyFont="1" applyBorder="1" applyAlignment="1">
      <alignment horizontal="center"/>
    </xf>
    <xf numFmtId="0" fontId="22" fillId="0" borderId="10" xfId="0" applyFont="1" applyBorder="1" applyAlignment="1">
      <alignment horizontal="center"/>
    </xf>
    <xf numFmtId="0" fontId="13" fillId="0" borderId="49"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27" fillId="0" borderId="0" xfId="0" applyFont="1" applyAlignment="1">
      <alignment horizontal="center" wrapText="1"/>
    </xf>
    <xf numFmtId="0" fontId="25" fillId="0" borderId="0" xfId="0" applyFont="1" applyAlignment="1">
      <alignment horizontal="center" wrapText="1"/>
    </xf>
    <xf numFmtId="0" fontId="11" fillId="0" borderId="2" xfId="0" applyFont="1" applyBorder="1" applyAlignment="1">
      <alignment horizontal="center"/>
    </xf>
    <xf numFmtId="0" fontId="9" fillId="0" borderId="0" xfId="0" applyFont="1" applyAlignment="1">
      <alignment horizontal="center"/>
    </xf>
    <xf numFmtId="165" fontId="9" fillId="0" borderId="5" xfId="0" applyNumberFormat="1" applyFont="1" applyBorder="1" applyAlignment="1">
      <alignment horizontal="center" wrapText="1"/>
    </xf>
    <xf numFmtId="165" fontId="9" fillId="0" borderId="6" xfId="0" applyNumberFormat="1" applyFont="1" applyBorder="1" applyAlignment="1">
      <alignment horizontal="center" wrapText="1"/>
    </xf>
    <xf numFmtId="0" fontId="13" fillId="2" borderId="48" xfId="0" applyFont="1" applyFill="1" applyBorder="1" applyAlignment="1">
      <alignment horizontal="center" wrapText="1"/>
    </xf>
    <xf numFmtId="0" fontId="13" fillId="2" borderId="48" xfId="0" applyFont="1" applyFill="1" applyBorder="1" applyAlignment="1">
      <alignment horizontal="center"/>
    </xf>
    <xf numFmtId="0" fontId="13" fillId="2" borderId="0" xfId="0" applyFont="1" applyFill="1" applyAlignment="1">
      <alignment horizontal="center"/>
    </xf>
    <xf numFmtId="0" fontId="8" fillId="0" borderId="1" xfId="3" applyAlignment="1">
      <alignment horizontal="center"/>
    </xf>
  </cellXfs>
  <cellStyles count="14">
    <cellStyle name="Currency" xfId="1" builtinId="4"/>
    <cellStyle name="Currency 5" xfId="7" xr:uid="{6142854B-86B9-4FFA-A924-1FE542348017}"/>
    <cellStyle name="Heading 1" xfId="3" builtinId="16"/>
    <cellStyle name="Hyperlink" xfId="9" builtinId="8"/>
    <cellStyle name="Normal" xfId="0" builtinId="0"/>
    <cellStyle name="Normal 16" xfId="8" xr:uid="{98B61825-4319-4A4B-AF17-DB5DBBD4CBD8}"/>
    <cellStyle name="Normal 19" xfId="5" xr:uid="{A3280BE2-49A1-45DA-9315-0315FE149983}"/>
    <cellStyle name="Normal 19 2" xfId="12" xr:uid="{D8E44407-9BB3-4D1E-989D-772C17280CCE}"/>
    <cellStyle name="Normal 2" xfId="10" xr:uid="{E13BC400-84D5-4EA7-80D5-FADA38ACCC5E}"/>
    <cellStyle name="Normal 3" xfId="11" xr:uid="{13FFC4D2-F714-43AC-A56D-DDA37D15B11F}"/>
    <cellStyle name="Normal 4" xfId="13" xr:uid="{338886DA-A72D-4E30-BCA5-196557B8A627}"/>
    <cellStyle name="Percent" xfId="2" builtinId="5"/>
    <cellStyle name="Percent 2" xfId="6" xr:uid="{188EC092-D4C5-4279-8F08-45E62C0FAB82}"/>
    <cellStyle name="Percent 6 2" xfId="4" xr:uid="{608C0BE8-1207-421B-A3EF-D7F155E23F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m.wa.gov/accounting/administrative-accounting-resources/trave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hyperlink" Target="http://www.chmuraecon.com/jobse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A3FC-4D70-4F91-AACB-5FE266D41707}">
  <sheetPr codeName="Sheet30">
    <tabColor theme="8" tint="0.79998168889431442"/>
  </sheetPr>
  <dimension ref="C2:S114"/>
  <sheetViews>
    <sheetView topLeftCell="A45" zoomScale="85" zoomScaleNormal="85" workbookViewId="0">
      <selection activeCell="C74" sqref="C74"/>
    </sheetView>
  </sheetViews>
  <sheetFormatPr defaultRowHeight="12.75" x14ac:dyDescent="0.2"/>
  <cols>
    <col min="1" max="2" width="6" customWidth="1"/>
    <col min="3" max="3" width="47" customWidth="1"/>
    <col min="4" max="4" width="34.42578125" customWidth="1"/>
    <col min="5" max="5" width="29.140625" customWidth="1"/>
    <col min="6" max="6" width="15.28515625" customWidth="1"/>
    <col min="7" max="7" width="16.140625" customWidth="1"/>
    <col min="8" max="9" width="21" customWidth="1"/>
    <col min="10" max="10" width="20.140625" customWidth="1"/>
    <col min="11" max="11" width="14.42578125" customWidth="1"/>
    <col min="12" max="12" width="14.85546875" customWidth="1"/>
    <col min="13" max="13" width="16" customWidth="1"/>
    <col min="14" max="14" width="10.7109375" customWidth="1"/>
    <col min="15" max="16" width="10.5703125" customWidth="1"/>
    <col min="18" max="18" width="14.140625" customWidth="1"/>
    <col min="24" max="24" width="14.28515625" customWidth="1"/>
    <col min="25" max="25" width="15.5703125" customWidth="1"/>
    <col min="26" max="26" width="21.5703125" customWidth="1"/>
    <col min="35" max="35" width="22.42578125" customWidth="1"/>
    <col min="36" max="36" width="19.140625" customWidth="1"/>
    <col min="37" max="37" width="14.42578125" customWidth="1"/>
  </cols>
  <sheetData>
    <row r="2" spans="3:19" ht="20.25" customHeight="1" x14ac:dyDescent="0.35">
      <c r="C2" s="362" t="s">
        <v>93</v>
      </c>
      <c r="D2" s="363"/>
      <c r="E2" s="363"/>
      <c r="F2" s="363"/>
      <c r="G2" s="363"/>
      <c r="H2" s="363"/>
      <c r="I2" s="363"/>
      <c r="J2" s="363"/>
      <c r="K2" s="363"/>
      <c r="L2" s="363"/>
      <c r="M2" s="363"/>
      <c r="N2" s="363"/>
      <c r="O2" s="363"/>
      <c r="P2" s="363"/>
      <c r="Q2" s="363"/>
    </row>
    <row r="3" spans="3:19" ht="29.25" customHeight="1" x14ac:dyDescent="0.25">
      <c r="C3" s="364" t="s">
        <v>281</v>
      </c>
      <c r="D3" s="365"/>
      <c r="E3" s="365"/>
      <c r="F3" s="365"/>
      <c r="G3" s="365"/>
      <c r="H3" s="365"/>
      <c r="I3" s="365"/>
      <c r="J3" s="365"/>
      <c r="K3" s="365"/>
      <c r="L3" s="365"/>
      <c r="M3" s="365"/>
      <c r="N3" s="365"/>
      <c r="O3" s="365"/>
      <c r="P3" s="365"/>
      <c r="Q3" s="365"/>
    </row>
    <row r="4" spans="3:19" ht="14.45" customHeight="1" x14ac:dyDescent="0.2"/>
    <row r="5" spans="3:19" ht="26.25" hidden="1" customHeight="1" x14ac:dyDescent="0.25">
      <c r="C5" s="366" t="s">
        <v>94</v>
      </c>
      <c r="D5" s="366"/>
      <c r="E5" s="366"/>
      <c r="F5" s="366"/>
      <c r="G5" s="366"/>
      <c r="H5" s="366"/>
      <c r="I5" s="366"/>
      <c r="J5" s="366"/>
      <c r="K5" s="366"/>
      <c r="L5" s="366"/>
      <c r="M5" s="366"/>
      <c r="N5" s="366"/>
      <c r="O5" s="366"/>
      <c r="P5" s="366"/>
      <c r="Q5" s="366"/>
    </row>
    <row r="6" spans="3:19" ht="14.45" hidden="1" customHeight="1" x14ac:dyDescent="0.2"/>
    <row r="7" spans="3:19" ht="15.75" hidden="1" x14ac:dyDescent="0.25">
      <c r="C7" s="2"/>
      <c r="D7" s="367" t="s">
        <v>95</v>
      </c>
      <c r="E7" s="367"/>
      <c r="F7" s="367" t="s">
        <v>96</v>
      </c>
      <c r="G7" s="367"/>
      <c r="H7" s="367"/>
      <c r="I7" s="367"/>
      <c r="J7" s="367" t="s">
        <v>97</v>
      </c>
      <c r="K7" s="367"/>
      <c r="L7" s="367"/>
      <c r="M7" s="367"/>
      <c r="N7" s="367"/>
      <c r="O7" s="43" t="s">
        <v>98</v>
      </c>
    </row>
    <row r="8" spans="3:19" ht="15" hidden="1" x14ac:dyDescent="0.25">
      <c r="D8" s="95" t="s">
        <v>99</v>
      </c>
      <c r="E8" s="95" t="s">
        <v>70</v>
      </c>
      <c r="F8" s="96" t="s">
        <v>71</v>
      </c>
      <c r="G8" s="96" t="s">
        <v>72</v>
      </c>
      <c r="H8" s="96" t="s">
        <v>100</v>
      </c>
      <c r="I8" s="96" t="s">
        <v>74</v>
      </c>
      <c r="J8" s="97" t="s">
        <v>75</v>
      </c>
      <c r="K8" s="97" t="s">
        <v>76</v>
      </c>
      <c r="L8" s="97" t="s">
        <v>77</v>
      </c>
      <c r="M8" s="97" t="s">
        <v>78</v>
      </c>
      <c r="N8" s="97" t="s">
        <v>79</v>
      </c>
      <c r="O8" s="160" t="s">
        <v>80</v>
      </c>
      <c r="Q8" s="74"/>
      <c r="R8" s="74"/>
      <c r="S8" s="74"/>
    </row>
    <row r="9" spans="3:19" hidden="1" x14ac:dyDescent="0.2"/>
    <row r="10" spans="3:19" ht="15.75" hidden="1" customHeight="1" x14ac:dyDescent="0.2"/>
    <row r="11" spans="3:19" ht="12" hidden="1" customHeight="1" x14ac:dyDescent="0.2">
      <c r="D11" s="66"/>
    </row>
    <row r="12" spans="3:19" hidden="1" x14ac:dyDescent="0.2">
      <c r="C12" s="17" t="s">
        <v>101</v>
      </c>
      <c r="D12" s="77">
        <f>ROUND(('Per FTE cost'!C$62/'Rate Assumption '!$C28/12)+('Per FTE cost'!C$33/12),0)</f>
        <v>497</v>
      </c>
      <c r="E12" s="77">
        <f>ROUND(('Per FTE cost'!D$62/'Rate Assumption '!$C28/12)+('Per FTE cost'!D$33/12),0)</f>
        <v>495</v>
      </c>
      <c r="F12" s="77">
        <f>ROUND(('Per FTE cost'!E$62/'Rate Assumption '!$C28/12)+('Per FTE cost'!E$33/12),0)</f>
        <v>529</v>
      </c>
      <c r="G12" s="77">
        <f>ROUND(('Per FTE cost'!F$62/'Rate Assumption '!$C28/12)+('Per FTE cost'!F$33/12),0)</f>
        <v>529</v>
      </c>
      <c r="H12" s="77">
        <f>ROUND(('Per FTE cost'!G$62/'Rate Assumption '!$C28/12)+('Per FTE cost'!G$33/12),0)</f>
        <v>529</v>
      </c>
      <c r="I12" s="77">
        <f>ROUND(('Per FTE cost'!H$62/'Rate Assumption '!$C28/12)+('Per FTE cost'!H$33/12),0)</f>
        <v>529</v>
      </c>
      <c r="J12" s="77">
        <f>ROUND(('Per FTE cost'!I$62/'Rate Assumption '!$C28/12)+('Per FTE cost'!I$33/12),0)</f>
        <v>508</v>
      </c>
      <c r="K12" s="77">
        <f>ROUND(('Per FTE cost'!J$62/'Rate Assumption '!$C28/12)+('Per FTE cost'!J$33/12),0)</f>
        <v>508</v>
      </c>
      <c r="L12" s="77">
        <f>ROUND(('Per FTE cost'!K$62/'Rate Assumption '!$C28/12)+('Per FTE cost'!K$33/12),0)</f>
        <v>508</v>
      </c>
      <c r="M12" s="77">
        <f>ROUND(('Per FTE cost'!L$62/'Rate Assumption '!$C28/12)+('Per FTE cost'!L$33/12),0)</f>
        <v>508</v>
      </c>
      <c r="N12" s="77">
        <f>ROUND(('Per FTE cost'!M$62/'Rate Assumption '!$C28/12)+('Per FTE cost'!M$33/12),0)</f>
        <v>508</v>
      </c>
      <c r="O12" s="77">
        <f>ROUND(('Per FTE cost'!N$62/'Rate Assumption '!$C28/12)+('Per FTE cost'!N$33/12),0)</f>
        <v>564</v>
      </c>
      <c r="P12" s="77"/>
      <c r="Q12" s="77"/>
    </row>
    <row r="13" spans="3:19" hidden="1" x14ac:dyDescent="0.2">
      <c r="C13" s="17" t="s">
        <v>102</v>
      </c>
      <c r="D13" s="77">
        <f>ROUND(('Per FTE cost'!C$62/'Rate Assumption '!$C29/12)+('Per FTE cost'!C$33/12),0)</f>
        <v>535</v>
      </c>
      <c r="E13" s="77">
        <f>ROUND(('Per FTE cost'!D$62/'Rate Assumption '!$C29/12)+('Per FTE cost'!D$33/12),0)</f>
        <v>532</v>
      </c>
      <c r="F13" s="77">
        <f>ROUND(('Per FTE cost'!E$62/'Rate Assumption '!$C29/12)+('Per FTE cost'!E$33/12),0)</f>
        <v>569</v>
      </c>
      <c r="G13" s="77">
        <f>ROUND(('Per FTE cost'!F$62/'Rate Assumption '!$C29/12)+('Per FTE cost'!F$33/12),0)</f>
        <v>569</v>
      </c>
      <c r="H13" s="77">
        <f>ROUND(('Per FTE cost'!G$62/'Rate Assumption '!$C29/12)+('Per FTE cost'!G$33/12),0)</f>
        <v>569</v>
      </c>
      <c r="I13" s="77">
        <f>ROUND(('Per FTE cost'!H$62/'Rate Assumption '!$C29/12)+('Per FTE cost'!H$33/12),0)</f>
        <v>569</v>
      </c>
      <c r="J13" s="77">
        <f>ROUND(('Per FTE cost'!I$62/'Rate Assumption '!$C29/12)+('Per FTE cost'!I$33/12),0)</f>
        <v>547</v>
      </c>
      <c r="K13" s="77">
        <f>ROUND(('Per FTE cost'!J$62/'Rate Assumption '!$C29/12)+('Per FTE cost'!J$33/12),0)</f>
        <v>547</v>
      </c>
      <c r="L13" s="77">
        <f>ROUND(('Per FTE cost'!K$62/'Rate Assumption '!$C29/12)+('Per FTE cost'!K$33/12),0)</f>
        <v>547</v>
      </c>
      <c r="M13" s="77">
        <f>ROUND(('Per FTE cost'!L$62/'Rate Assumption '!$C29/12)+('Per FTE cost'!L$33/12),0)</f>
        <v>547</v>
      </c>
      <c r="N13" s="77">
        <f>ROUND(('Per FTE cost'!M$62/'Rate Assumption '!$C29/12)+('Per FTE cost'!M$33/12),0)</f>
        <v>547</v>
      </c>
      <c r="O13" s="77">
        <f>ROUND(('Per FTE cost'!N$62/'Rate Assumption '!$C29/12)+('Per FTE cost'!N$33/12),0)</f>
        <v>607</v>
      </c>
      <c r="P13" s="77"/>
      <c r="Q13" s="77"/>
    </row>
    <row r="14" spans="3:19" hidden="1" x14ac:dyDescent="0.2">
      <c r="C14" s="17" t="s">
        <v>103</v>
      </c>
      <c r="D14" s="77">
        <f>ROUND(('Per FTE cost'!C$62/'Rate Assumption '!$C30/12)+('Per FTE cost'!C$33/12),0)</f>
        <v>579</v>
      </c>
      <c r="E14" s="77">
        <f>ROUND(('Per FTE cost'!D$62/'Rate Assumption '!$C30/12)+('Per FTE cost'!D$33/12),0)</f>
        <v>577</v>
      </c>
      <c r="F14" s="77">
        <f>ROUND(('Per FTE cost'!E$62/'Rate Assumption '!$C30/12)+('Per FTE cost'!E$33/12),0)</f>
        <v>616</v>
      </c>
      <c r="G14" s="77">
        <f>ROUND(('Per FTE cost'!F$62/'Rate Assumption '!$C30/12)+('Per FTE cost'!F$33/12),0)</f>
        <v>616</v>
      </c>
      <c r="H14" s="77">
        <f>ROUND(('Per FTE cost'!G$62/'Rate Assumption '!$C30/12)+('Per FTE cost'!G$33/12),0)</f>
        <v>616</v>
      </c>
      <c r="I14" s="77">
        <f>ROUND(('Per FTE cost'!H$62/'Rate Assumption '!$C30/12)+('Per FTE cost'!H$33/12),0)</f>
        <v>616</v>
      </c>
      <c r="J14" s="77">
        <f>ROUND(('Per FTE cost'!I$62/'Rate Assumption '!$C30/12)+('Per FTE cost'!I$33/12),0)</f>
        <v>592</v>
      </c>
      <c r="K14" s="77">
        <f>ROUND(('Per FTE cost'!J$62/'Rate Assumption '!$C30/12)+('Per FTE cost'!J$33/12),0)</f>
        <v>592</v>
      </c>
      <c r="L14" s="77">
        <f>ROUND(('Per FTE cost'!K$62/'Rate Assumption '!$C30/12)+('Per FTE cost'!K$33/12),0)</f>
        <v>592</v>
      </c>
      <c r="M14" s="77">
        <f>ROUND(('Per FTE cost'!L$62/'Rate Assumption '!$C30/12)+('Per FTE cost'!L$33/12),0)</f>
        <v>592</v>
      </c>
      <c r="N14" s="77">
        <f>ROUND(('Per FTE cost'!M$62/'Rate Assumption '!$C30/12)+('Per FTE cost'!M$33/12),0)</f>
        <v>592</v>
      </c>
      <c r="O14" s="77">
        <f>ROUND(('Per FTE cost'!N$62/'Rate Assumption '!$C30/12)+('Per FTE cost'!N$33/12),0)</f>
        <v>657</v>
      </c>
      <c r="P14" s="77"/>
      <c r="Q14" s="77"/>
    </row>
    <row r="15" spans="3:19" hidden="1" x14ac:dyDescent="0.2">
      <c r="C15" s="17" t="s">
        <v>104</v>
      </c>
      <c r="D15" s="77">
        <f>ROUND(('Per FTE cost'!C$62/'Rate Assumption '!$C31/12)+('Per FTE cost'!C$33/12),0)</f>
        <v>634</v>
      </c>
      <c r="E15" s="77">
        <f>ROUND(('Per FTE cost'!D$62/'Rate Assumption '!$C31/12)+('Per FTE cost'!D$33/12),0)</f>
        <v>631</v>
      </c>
      <c r="F15" s="77">
        <f>ROUND(('Per FTE cost'!E$62/'Rate Assumption '!$C31/12)+('Per FTE cost'!E$33/12),0)</f>
        <v>674</v>
      </c>
      <c r="G15" s="77">
        <f>ROUND(('Per FTE cost'!F$62/'Rate Assumption '!$C31/12)+('Per FTE cost'!F$33/12),0)</f>
        <v>674</v>
      </c>
      <c r="H15" s="77">
        <f>ROUND(('Per FTE cost'!G$62/'Rate Assumption '!$C31/12)+('Per FTE cost'!G$33/12),0)</f>
        <v>674</v>
      </c>
      <c r="I15" s="77">
        <f>ROUND(('Per FTE cost'!H$62/'Rate Assumption '!$C31/12)+('Per FTE cost'!H$33/12),0)</f>
        <v>674</v>
      </c>
      <c r="J15" s="77">
        <f>ROUND(('Per FTE cost'!I$62/'Rate Assumption '!$C31/12)+('Per FTE cost'!I$33/12),0)</f>
        <v>648</v>
      </c>
      <c r="K15" s="77">
        <f>ROUND(('Per FTE cost'!J$62/'Rate Assumption '!$C31/12)+('Per FTE cost'!J$33/12),0)</f>
        <v>648</v>
      </c>
      <c r="L15" s="77">
        <f>ROUND(('Per FTE cost'!K$62/'Rate Assumption '!$C31/12)+('Per FTE cost'!K$33/12),0)</f>
        <v>648</v>
      </c>
      <c r="M15" s="77">
        <f>ROUND(('Per FTE cost'!L$62/'Rate Assumption '!$C31/12)+('Per FTE cost'!L$33/12),0)</f>
        <v>648</v>
      </c>
      <c r="N15" s="77">
        <f>ROUND(('Per FTE cost'!M$62/'Rate Assumption '!$C31/12)+('Per FTE cost'!M$33/12),0)</f>
        <v>648</v>
      </c>
      <c r="O15" s="77">
        <f>ROUND(('Per FTE cost'!N$62/'Rate Assumption '!$C31/12)+('Per FTE cost'!N$33/12),0)</f>
        <v>718</v>
      </c>
      <c r="P15" s="77"/>
      <c r="Q15" s="77"/>
    </row>
    <row r="16" spans="3:19" hidden="1" x14ac:dyDescent="0.2">
      <c r="C16" s="17" t="s">
        <v>105</v>
      </c>
      <c r="D16" s="77">
        <f>ROUND(('Per FTE cost'!C$62/'Rate Assumption '!$C32/12)+('Per FTE cost'!C$33/12),0)</f>
        <v>785</v>
      </c>
      <c r="E16" s="77">
        <f>ROUND(('Per FTE cost'!D$62/'Rate Assumption '!$C32/12)+('Per FTE cost'!D$33/12),0)</f>
        <v>782</v>
      </c>
      <c r="F16" s="77">
        <f>ROUND(('Per FTE cost'!E$62/'Rate Assumption '!$C32/12)+('Per FTE cost'!E$33/12),0)</f>
        <v>834</v>
      </c>
      <c r="G16" s="77">
        <f>ROUND(('Per FTE cost'!F$62/'Rate Assumption '!$C32/12)+('Per FTE cost'!F$33/12),0)</f>
        <v>834</v>
      </c>
      <c r="H16" s="77">
        <f>ROUND(('Per FTE cost'!G$62/'Rate Assumption '!$C32/12)+('Per FTE cost'!G$33/12),0)</f>
        <v>834</v>
      </c>
      <c r="I16" s="77">
        <f>ROUND(('Per FTE cost'!H$62/'Rate Assumption '!$C32/12)+('Per FTE cost'!H$33/12),0)</f>
        <v>834</v>
      </c>
      <c r="J16" s="77">
        <f>ROUND(('Per FTE cost'!I$62/'Rate Assumption '!$C32/12)+('Per FTE cost'!I$33/12),0)</f>
        <v>803</v>
      </c>
      <c r="K16" s="77">
        <f>ROUND(('Per FTE cost'!J$62/'Rate Assumption '!$C32/12)+('Per FTE cost'!J$33/12),0)</f>
        <v>803</v>
      </c>
      <c r="L16" s="77">
        <f>ROUND(('Per FTE cost'!K$62/'Rate Assumption '!$C32/12)+('Per FTE cost'!K$33/12),0)</f>
        <v>803</v>
      </c>
      <c r="M16" s="77">
        <f>ROUND(('Per FTE cost'!L$62/'Rate Assumption '!$C32/12)+('Per FTE cost'!L$33/12),0)</f>
        <v>803</v>
      </c>
      <c r="N16" s="77">
        <f>ROUND(('Per FTE cost'!M$62/'Rate Assumption '!$C32/12)+('Per FTE cost'!M$33/12),0)</f>
        <v>803</v>
      </c>
      <c r="O16" s="77">
        <f>ROUND(('Per FTE cost'!N$62/'Rate Assumption '!$C32/12)+('Per FTE cost'!N$33/12),0)</f>
        <v>890</v>
      </c>
      <c r="P16" s="77"/>
      <c r="Q16" s="77"/>
    </row>
    <row r="17" spans="3:17" hidden="1" x14ac:dyDescent="0.2">
      <c r="C17" s="17" t="s">
        <v>106</v>
      </c>
      <c r="D17" s="77">
        <f>ROUND(('Per FTE cost'!C$62/'Rate Assumption '!$C33/12)+('Per FTE cost'!C$33/12),0)</f>
        <v>837</v>
      </c>
      <c r="E17" s="77">
        <f>ROUND(('Per FTE cost'!D$62/'Rate Assumption '!$C33/12)+('Per FTE cost'!D$33/12),0)</f>
        <v>833</v>
      </c>
      <c r="F17" s="77">
        <f>ROUND(('Per FTE cost'!E$62/'Rate Assumption '!$C33/12)+('Per FTE cost'!E$33/12),0)</f>
        <v>889</v>
      </c>
      <c r="G17" s="77">
        <f>ROUND(('Per FTE cost'!F$62/'Rate Assumption '!$C33/12)+('Per FTE cost'!F$33/12),0)</f>
        <v>889</v>
      </c>
      <c r="H17" s="77">
        <f>ROUND(('Per FTE cost'!G$62/'Rate Assumption '!$C33/12)+('Per FTE cost'!G$33/12),0)</f>
        <v>889</v>
      </c>
      <c r="I17" s="77">
        <f>ROUND(('Per FTE cost'!H$62/'Rate Assumption '!$C33/12)+('Per FTE cost'!H$33/12),0)</f>
        <v>889</v>
      </c>
      <c r="J17" s="77">
        <f>ROUND(('Per FTE cost'!I$62/'Rate Assumption '!$C33/12)+('Per FTE cost'!I$33/12),0)</f>
        <v>855</v>
      </c>
      <c r="K17" s="77">
        <f>ROUND(('Per FTE cost'!J$62/'Rate Assumption '!$C33/12)+('Per FTE cost'!J$33/12),0)</f>
        <v>855</v>
      </c>
      <c r="L17" s="77">
        <f>ROUND(('Per FTE cost'!K$62/'Rate Assumption '!$C33/12)+('Per FTE cost'!K$33/12),0)</f>
        <v>855</v>
      </c>
      <c r="M17" s="77">
        <f>ROUND(('Per FTE cost'!L$62/'Rate Assumption '!$C33/12)+('Per FTE cost'!L$33/12),0)</f>
        <v>855</v>
      </c>
      <c r="N17" s="77">
        <f>ROUND(('Per FTE cost'!M$62/'Rate Assumption '!$C33/12)+('Per FTE cost'!M$33/12),0)</f>
        <v>855</v>
      </c>
      <c r="O17" s="77">
        <f>ROUND(('Per FTE cost'!N$62/'Rate Assumption '!$C33/12)+('Per FTE cost'!N$33/12),0)</f>
        <v>948</v>
      </c>
      <c r="P17" s="77"/>
      <c r="Q17" s="77"/>
    </row>
    <row r="18" spans="3:17" hidden="1" x14ac:dyDescent="0.2">
      <c r="C18" s="17" t="s">
        <v>107</v>
      </c>
      <c r="D18" s="77">
        <f>ROUND(('Per FTE cost'!C$62/'Rate Assumption '!$C34/12)+('Per FTE cost'!C$33/12),0)</f>
        <v>966</v>
      </c>
      <c r="E18" s="77">
        <f>ROUND(('Per FTE cost'!D$62/'Rate Assumption '!$C34/12)+('Per FTE cost'!D$33/12),0)</f>
        <v>962</v>
      </c>
      <c r="F18" s="77">
        <f>ROUND(('Per FTE cost'!E$62/'Rate Assumption '!$C34/12)+('Per FTE cost'!E$33/12),0)</f>
        <v>1026</v>
      </c>
      <c r="G18" s="77">
        <f>ROUND(('Per FTE cost'!F$62/'Rate Assumption '!$C34/12)+('Per FTE cost'!F$33/12),0)</f>
        <v>1026</v>
      </c>
      <c r="H18" s="77">
        <f>ROUND(('Per FTE cost'!G$62/'Rate Assumption '!$C34/12)+('Per FTE cost'!G$33/12),0)</f>
        <v>1026</v>
      </c>
      <c r="I18" s="77">
        <f>ROUND(('Per FTE cost'!H$62/'Rate Assumption '!$C34/12)+('Per FTE cost'!H$33/12),0)</f>
        <v>1026</v>
      </c>
      <c r="J18" s="77">
        <f>ROUND(('Per FTE cost'!I$62/'Rate Assumption '!$C34/12)+('Per FTE cost'!I$33/12),0)</f>
        <v>987</v>
      </c>
      <c r="K18" s="77">
        <f>ROUND(('Per FTE cost'!J$62/'Rate Assumption '!$C34/12)+('Per FTE cost'!J$33/12),0)</f>
        <v>987</v>
      </c>
      <c r="L18" s="77">
        <f>ROUND(('Per FTE cost'!K$62/'Rate Assumption '!$C34/12)+('Per FTE cost'!K$33/12),0)</f>
        <v>987</v>
      </c>
      <c r="M18" s="77">
        <f>ROUND(('Per FTE cost'!L$62/'Rate Assumption '!$C34/12)+('Per FTE cost'!L$33/12),0)</f>
        <v>987</v>
      </c>
      <c r="N18" s="77">
        <f>ROUND(('Per FTE cost'!M$62/'Rate Assumption '!$C34/12)+('Per FTE cost'!M$33/12),0)</f>
        <v>987</v>
      </c>
      <c r="O18" s="77">
        <f>ROUND(('Per FTE cost'!N$62/'Rate Assumption '!$C34/12)+('Per FTE cost'!N$33/12),0)</f>
        <v>1093</v>
      </c>
      <c r="P18" s="77"/>
      <c r="Q18" s="77"/>
    </row>
    <row r="19" spans="3:17" hidden="1" x14ac:dyDescent="0.2">
      <c r="D19" s="78"/>
      <c r="E19" s="78"/>
      <c r="F19" s="78"/>
      <c r="G19" s="78"/>
      <c r="H19" s="78"/>
      <c r="I19" s="78"/>
      <c r="J19" s="78"/>
      <c r="K19" s="78"/>
      <c r="L19" s="78"/>
      <c r="M19" s="78"/>
      <c r="N19" s="78"/>
    </row>
    <row r="20" spans="3:17" hidden="1" x14ac:dyDescent="0.2">
      <c r="E20" s="92"/>
    </row>
    <row r="21" spans="3:17" hidden="1" x14ac:dyDescent="0.2">
      <c r="C21" t="s">
        <v>92</v>
      </c>
      <c r="D21" s="83">
        <f>ROUND('Per FTE cost'!C64/2080,2)</f>
        <v>56.08</v>
      </c>
      <c r="E21" s="83">
        <f>ROUND('Per FTE cost'!D64/2080,2)</f>
        <v>55.79</v>
      </c>
      <c r="F21" s="83">
        <f>ROUND('Per FTE cost'!E64/2080,2)</f>
        <v>57.84</v>
      </c>
      <c r="G21" s="83">
        <f>ROUND('Per FTE cost'!F64/2080,2)</f>
        <v>57.84</v>
      </c>
      <c r="H21" s="83">
        <f>ROUND('Per FTE cost'!G64/2080,2)</f>
        <v>57.84</v>
      </c>
      <c r="I21" s="83">
        <f>ROUND('Per FTE cost'!H64/2080,2)</f>
        <v>57.84</v>
      </c>
      <c r="J21" s="83">
        <f>ROUND('Per FTE cost'!I64/2080,2)</f>
        <v>56.72</v>
      </c>
      <c r="K21" s="83">
        <f>ROUND('Per FTE cost'!J64/2080,2)</f>
        <v>56.72</v>
      </c>
      <c r="L21" s="83">
        <f>ROUND('Per FTE cost'!K64/2080,2)</f>
        <v>56.72</v>
      </c>
      <c r="M21" s="83">
        <f>ROUND('Per FTE cost'!L64/2080,2)</f>
        <v>56.72</v>
      </c>
      <c r="N21" s="83">
        <f>ROUND('Per FTE cost'!M64/2080,2)</f>
        <v>56.72</v>
      </c>
      <c r="O21" s="83">
        <f>ROUND('Per FTE cost'!N64/2080,2)</f>
        <v>62.68</v>
      </c>
    </row>
    <row r="22" spans="3:17" hidden="1" x14ac:dyDescent="0.2">
      <c r="D22" s="83"/>
      <c r="E22" s="83"/>
      <c r="F22" s="83"/>
      <c r="G22" s="83"/>
      <c r="H22" s="83"/>
      <c r="I22" s="83"/>
      <c r="J22" s="83"/>
      <c r="K22" s="83"/>
      <c r="L22" s="83"/>
      <c r="M22" s="83"/>
      <c r="N22" s="83"/>
      <c r="O22" s="83"/>
      <c r="P22" s="83"/>
      <c r="Q22" s="83"/>
    </row>
    <row r="23" spans="3:17" hidden="1" x14ac:dyDescent="0.2">
      <c r="D23" s="83"/>
      <c r="E23" s="83"/>
      <c r="F23" s="161"/>
      <c r="G23" s="161"/>
      <c r="H23" s="161"/>
      <c r="I23" s="161"/>
      <c r="J23" s="161"/>
      <c r="K23" s="161"/>
      <c r="L23" s="161"/>
      <c r="M23" s="161"/>
      <c r="N23" s="161"/>
      <c r="O23" s="161"/>
      <c r="P23" s="161"/>
      <c r="Q23" s="161"/>
    </row>
    <row r="24" spans="3:17" hidden="1" x14ac:dyDescent="0.2">
      <c r="Q24" s="161"/>
    </row>
    <row r="25" spans="3:17" hidden="1" x14ac:dyDescent="0.2">
      <c r="Q25" s="161"/>
    </row>
    <row r="26" spans="3:17" x14ac:dyDescent="0.2">
      <c r="D26" s="162"/>
    </row>
    <row r="27" spans="3:17" x14ac:dyDescent="0.2">
      <c r="C27" s="372"/>
      <c r="D27" s="372"/>
      <c r="E27" s="372"/>
      <c r="F27" s="372"/>
      <c r="G27" s="372"/>
      <c r="H27" s="372"/>
      <c r="I27" s="372"/>
      <c r="J27" s="372"/>
      <c r="K27" s="372"/>
      <c r="L27" s="372"/>
      <c r="M27" s="372"/>
      <c r="N27" s="372"/>
      <c r="O27" s="372"/>
      <c r="P27" s="372"/>
      <c r="Q27" s="372"/>
    </row>
    <row r="28" spans="3:17" x14ac:dyDescent="0.2">
      <c r="C28" s="104"/>
      <c r="D28" s="104"/>
      <c r="E28" s="104"/>
      <c r="F28" s="104"/>
      <c r="G28" s="104"/>
      <c r="H28" s="104"/>
      <c r="I28" s="104"/>
      <c r="J28" s="104"/>
      <c r="K28" s="104"/>
      <c r="L28" s="104"/>
      <c r="M28" s="104"/>
      <c r="N28" s="104"/>
      <c r="O28" s="104"/>
      <c r="P28" s="104"/>
      <c r="Q28" s="104"/>
    </row>
    <row r="29" spans="3:17" ht="15.75" x14ac:dyDescent="0.25">
      <c r="D29" s="237" t="s">
        <v>95</v>
      </c>
      <c r="E29" s="237" t="s">
        <v>95</v>
      </c>
      <c r="F29" s="237" t="s">
        <v>96</v>
      </c>
      <c r="G29" s="237" t="s">
        <v>96</v>
      </c>
      <c r="H29" s="237" t="s">
        <v>96</v>
      </c>
      <c r="I29" s="237" t="s">
        <v>96</v>
      </c>
      <c r="J29" s="238" t="s">
        <v>97</v>
      </c>
      <c r="K29" s="238" t="s">
        <v>97</v>
      </c>
      <c r="L29" s="238" t="s">
        <v>97</v>
      </c>
      <c r="M29" s="238" t="s">
        <v>97</v>
      </c>
      <c r="N29" s="238" t="s">
        <v>97</v>
      </c>
      <c r="O29" s="238" t="s">
        <v>97</v>
      </c>
      <c r="P29" s="239" t="s">
        <v>98</v>
      </c>
      <c r="Q29" s="239" t="s">
        <v>98</v>
      </c>
    </row>
    <row r="30" spans="3:17" ht="15" x14ac:dyDescent="0.25">
      <c r="D30" s="106" t="s">
        <v>69</v>
      </c>
      <c r="E30" s="70" t="s">
        <v>70</v>
      </c>
      <c r="F30" s="71" t="s">
        <v>71</v>
      </c>
      <c r="G30" s="71" t="s">
        <v>72</v>
      </c>
      <c r="H30" s="108" t="s">
        <v>73</v>
      </c>
      <c r="I30" s="71" t="s">
        <v>113</v>
      </c>
      <c r="J30" s="72" t="s">
        <v>75</v>
      </c>
      <c r="K30" s="72" t="s">
        <v>76</v>
      </c>
      <c r="L30" s="72" t="s">
        <v>241</v>
      </c>
      <c r="M30" s="72" t="s">
        <v>240</v>
      </c>
      <c r="N30" s="72" t="s">
        <v>78</v>
      </c>
      <c r="O30" s="72" t="s">
        <v>79</v>
      </c>
      <c r="P30" s="107" t="s">
        <v>111</v>
      </c>
      <c r="Q30" s="107" t="s">
        <v>112</v>
      </c>
    </row>
    <row r="31" spans="3:17" x14ac:dyDescent="0.2">
      <c r="C31" s="17"/>
      <c r="D31" s="3"/>
      <c r="E31" s="3"/>
      <c r="F31" s="3"/>
      <c r="G31" s="3"/>
      <c r="H31" s="3"/>
      <c r="I31" s="3"/>
      <c r="J31" s="3"/>
      <c r="K31" s="3"/>
      <c r="L31" s="3"/>
      <c r="M31" s="3"/>
      <c r="N31" s="3"/>
      <c r="O31" s="3"/>
      <c r="P31" s="3"/>
      <c r="Q31" s="3"/>
    </row>
    <row r="32" spans="3:17" x14ac:dyDescent="0.2">
      <c r="C32" s="17"/>
      <c r="D32" s="3"/>
      <c r="E32" s="3"/>
      <c r="F32" s="3"/>
      <c r="G32" s="3"/>
      <c r="H32" s="3"/>
      <c r="I32" s="3"/>
      <c r="J32" s="3"/>
      <c r="K32" s="3"/>
      <c r="L32" s="3"/>
      <c r="M32" s="3"/>
      <c r="N32" s="3"/>
      <c r="O32" s="3"/>
      <c r="P32" s="3"/>
      <c r="Q32" s="3"/>
    </row>
    <row r="33" spans="3:17" ht="25.5" customHeight="1" x14ac:dyDescent="0.35">
      <c r="C33" s="196" t="s">
        <v>304</v>
      </c>
      <c r="D33" s="196"/>
      <c r="E33" s="196"/>
      <c r="F33" s="196"/>
      <c r="G33" s="196"/>
      <c r="H33" s="196"/>
      <c r="I33" s="196"/>
      <c r="J33" s="196"/>
      <c r="K33" s="196"/>
      <c r="L33" s="196"/>
      <c r="M33" s="196"/>
      <c r="N33" s="196"/>
      <c r="O33" s="196"/>
      <c r="P33" s="196"/>
      <c r="Q33" s="196"/>
    </row>
    <row r="34" spans="3:17" ht="25.5" hidden="1" customHeight="1" x14ac:dyDescent="0.35">
      <c r="C34" s="173"/>
      <c r="D34" s="173"/>
      <c r="E34" s="173"/>
      <c r="F34" s="173"/>
      <c r="G34" s="173"/>
      <c r="H34" s="173"/>
      <c r="I34" s="173"/>
      <c r="J34" s="173"/>
      <c r="K34" s="173"/>
      <c r="L34" s="173"/>
      <c r="M34" s="173"/>
      <c r="N34" s="173"/>
      <c r="O34" s="173"/>
      <c r="P34" s="173"/>
      <c r="Q34" s="173"/>
    </row>
    <row r="35" spans="3:17" ht="35.25" hidden="1" customHeight="1" x14ac:dyDescent="0.35">
      <c r="C35" s="317" t="s">
        <v>203</v>
      </c>
      <c r="D35" s="318">
        <v>0.48</v>
      </c>
      <c r="E35" s="173"/>
      <c r="F35" s="173"/>
      <c r="G35" s="173"/>
      <c r="H35" s="173"/>
      <c r="I35" s="173"/>
      <c r="J35" s="173"/>
      <c r="K35" s="173"/>
      <c r="L35" s="173"/>
      <c r="M35" s="173"/>
      <c r="N35" s="173"/>
      <c r="O35" s="173"/>
      <c r="P35" s="173"/>
      <c r="Q35" s="173"/>
    </row>
    <row r="36" spans="3:17" ht="25.5" hidden="1" customHeight="1" x14ac:dyDescent="0.35">
      <c r="C36" s="173"/>
      <c r="D36" s="173"/>
      <c r="E36" s="173"/>
      <c r="F36" s="173"/>
      <c r="G36" s="173"/>
      <c r="H36" s="173"/>
      <c r="I36" s="173"/>
      <c r="J36" s="173"/>
      <c r="K36" s="173"/>
      <c r="L36" s="173"/>
      <c r="M36" s="173"/>
      <c r="N36" s="173"/>
      <c r="O36" s="173"/>
      <c r="P36" s="173"/>
      <c r="Q36" s="173"/>
    </row>
    <row r="37" spans="3:17" ht="25.5" customHeight="1" x14ac:dyDescent="0.35">
      <c r="C37" s="173"/>
      <c r="D37" s="173"/>
      <c r="E37" s="173"/>
      <c r="F37" s="173"/>
      <c r="G37" s="173"/>
      <c r="H37" s="173"/>
      <c r="I37" s="173"/>
      <c r="J37" s="173"/>
      <c r="K37" s="173"/>
      <c r="L37" s="173"/>
      <c r="M37" s="173"/>
      <c r="N37" s="173"/>
      <c r="O37" s="173"/>
      <c r="P37" s="173"/>
      <c r="Q37" s="173"/>
    </row>
    <row r="38" spans="3:17" ht="14.25" x14ac:dyDescent="0.2">
      <c r="C38" s="319" t="s">
        <v>109</v>
      </c>
      <c r="D38" s="320">
        <f>('Per FTE cost'!C64*'Fee Table'!$D$35)/12</f>
        <v>4666.0493930125349</v>
      </c>
      <c r="E38" s="320">
        <f>('Per FTE cost'!D64*'Fee Table'!$D$35)/12</f>
        <v>4641.6680705125355</v>
      </c>
      <c r="F38" s="320">
        <f>('Per FTE cost'!E64*'Fee Table'!$D$35)/12</f>
        <v>4812.6842795542025</v>
      </c>
      <c r="G38" s="320">
        <f>('Per FTE cost'!F64*'Fee Table'!$D$35)/12</f>
        <v>4812.6842795542025</v>
      </c>
      <c r="H38" s="320">
        <f>('Per FTE cost'!G64*'Fee Table'!$D$35)/12</f>
        <v>4812.6842795542025</v>
      </c>
      <c r="I38" s="320">
        <f>('Per FTE cost'!H64*'Fee Table'!$D$35)/12</f>
        <v>4812.6842795542025</v>
      </c>
      <c r="J38" s="320">
        <f>('Per FTE cost'!I64*'Fee Table'!$D$35)/12</f>
        <v>4719.4718994930909</v>
      </c>
      <c r="K38" s="320">
        <f>('Per FTE cost'!J64*'Fee Table'!$D$35)/12</f>
        <v>4719.4718994930909</v>
      </c>
      <c r="L38" s="320">
        <f>M38</f>
        <v>4719.4718994930909</v>
      </c>
      <c r="M38" s="320">
        <f>('Per FTE cost'!K64*'Fee Table'!$D$35)/12</f>
        <v>4719.4718994930909</v>
      </c>
      <c r="N38" s="320">
        <f>('Per FTE cost'!L64*'Fee Table'!$D$35)/12</f>
        <v>4719.4718994930909</v>
      </c>
      <c r="O38" s="320">
        <f>('Per FTE cost'!M64*'Fee Table'!$D$35)/12</f>
        <v>4719.4718994930909</v>
      </c>
      <c r="P38" s="320">
        <f>Q38</f>
        <v>5215.1524839430904</v>
      </c>
      <c r="Q38" s="320">
        <f>('Per FTE cost'!N64*'Fee Table'!$D$35)/12</f>
        <v>5215.1524839430904</v>
      </c>
    </row>
    <row r="39" spans="3:17" ht="14.25" x14ac:dyDescent="0.2">
      <c r="C39" s="321" t="s">
        <v>123</v>
      </c>
      <c r="D39" s="360">
        <f>'Maximum FTE allowable'!G11</f>
        <v>17.3</v>
      </c>
      <c r="E39" s="360">
        <f>'Maximum FTE allowable'!H11</f>
        <v>6.9</v>
      </c>
      <c r="F39" s="360">
        <f>'Maximum FTE allowable'!I11</f>
        <v>15.5</v>
      </c>
      <c r="G39" s="360">
        <f>'Maximum FTE allowable'!J11</f>
        <v>12.6</v>
      </c>
      <c r="H39" s="360">
        <f>'Maximum FTE allowable'!K11</f>
        <v>1.1000000000000001</v>
      </c>
      <c r="I39" s="360">
        <f>'Maximum FTE allowable'!L11</f>
        <v>8.1</v>
      </c>
      <c r="J39" s="360">
        <f>'Maximum FTE allowable'!M11</f>
        <v>15.5</v>
      </c>
      <c r="K39" s="360">
        <f>'Maximum FTE allowable'!N11</f>
        <v>5.2</v>
      </c>
      <c r="L39" s="360">
        <f>'Maximum FTE allowable'!O11</f>
        <v>10.6</v>
      </c>
      <c r="M39" s="360">
        <f>'Maximum FTE allowable'!P11</f>
        <v>9.4</v>
      </c>
      <c r="N39" s="360">
        <f>'Maximum FTE allowable'!Q11</f>
        <v>10</v>
      </c>
      <c r="O39" s="360">
        <f>'Maximum FTE allowable'!R11</f>
        <v>7.2</v>
      </c>
      <c r="P39" s="360">
        <f>'Maximum FTE allowable'!S11</f>
        <v>7.7</v>
      </c>
      <c r="Q39" s="360">
        <f>'Maximum FTE allowable'!T11</f>
        <v>10.9</v>
      </c>
    </row>
    <row r="40" spans="3:17" ht="14.25" x14ac:dyDescent="0.2">
      <c r="C40" s="319"/>
      <c r="D40" s="320"/>
      <c r="E40" s="320"/>
      <c r="F40" s="320"/>
      <c r="G40" s="320"/>
      <c r="H40" s="320"/>
      <c r="I40" s="320"/>
      <c r="J40" s="320"/>
      <c r="K40" s="320"/>
      <c r="L40" s="320"/>
      <c r="M40" s="320"/>
      <c r="N40" s="320"/>
      <c r="O40" s="320"/>
      <c r="P40" s="320"/>
      <c r="Q40" s="320"/>
    </row>
    <row r="41" spans="3:17" ht="14.25" x14ac:dyDescent="0.2">
      <c r="C41" s="319" t="s">
        <v>108</v>
      </c>
      <c r="D41" s="320">
        <f>('Per FTE cost'!C62*'Fee Table'!$D$35)/12</f>
        <v>5191.6422135253551</v>
      </c>
      <c r="E41" s="320">
        <f>('Per FTE cost'!D62*'Fee Table'!$D$35)/12</f>
        <v>5167.2608910253557</v>
      </c>
      <c r="F41" s="320">
        <f>('Per FTE cost'!E62*'Fee Table'!$D$35)/12</f>
        <v>5503.6506898106118</v>
      </c>
      <c r="G41" s="320">
        <f>('Per FTE cost'!F62*'Fee Table'!$D$35)/12</f>
        <v>5503.6506898106118</v>
      </c>
      <c r="H41" s="320">
        <f>('Per FTE cost'!G62*'Fee Table'!$D$35)/12</f>
        <v>5503.6506898106118</v>
      </c>
      <c r="I41" s="320">
        <f>('Per FTE cost'!H62*'Fee Table'!$D$35)/12</f>
        <v>5503.6506898106118</v>
      </c>
      <c r="J41" s="320">
        <f>('Per FTE cost'!I62*'Fee Table'!$D$35)/12</f>
        <v>5300.2560533392452</v>
      </c>
      <c r="K41" s="320">
        <f>('Per FTE cost'!J62*'Fee Table'!$D$35)/12</f>
        <v>5300.2560533392452</v>
      </c>
      <c r="L41" s="320">
        <f>M41</f>
        <v>5300.2560533392452</v>
      </c>
      <c r="M41" s="320">
        <f>('Per FTE cost'!K62*'Fee Table'!$D$35)/12</f>
        <v>5300.2560533392452</v>
      </c>
      <c r="N41" s="320">
        <f>('Per FTE cost'!L62*'Fee Table'!$D$35)/12</f>
        <v>5300.2560533392452</v>
      </c>
      <c r="O41" s="320">
        <f>('Per FTE cost'!M62*'Fee Table'!$D$35)/12</f>
        <v>5300.2560533392452</v>
      </c>
      <c r="P41" s="320">
        <f>Q41</f>
        <v>5863.4040224046294</v>
      </c>
      <c r="Q41" s="320">
        <f>('Per FTE cost'!N62*'Fee Table'!$D$35)/12</f>
        <v>5863.4040224046294</v>
      </c>
    </row>
    <row r="42" spans="3:17" ht="14.25" x14ac:dyDescent="0.2">
      <c r="C42" s="321" t="s">
        <v>123</v>
      </c>
      <c r="D42" s="322">
        <f>'Maximum FTE allowable'!G10</f>
        <v>18.600000000000001</v>
      </c>
      <c r="E42" s="322">
        <f>'Maximum FTE allowable'!H10</f>
        <v>7.4250000000000007</v>
      </c>
      <c r="F42" s="322">
        <f>'Maximum FTE allowable'!I10</f>
        <v>16.649999999999999</v>
      </c>
      <c r="G42" s="322">
        <f>'Maximum FTE allowable'!J10</f>
        <v>13.575000000000001</v>
      </c>
      <c r="H42" s="322">
        <f>'Maximum FTE allowable'!K10</f>
        <v>1.2000000000000002</v>
      </c>
      <c r="I42" s="322">
        <f>'Maximum FTE allowable'!L10</f>
        <v>8.7749999999999986</v>
      </c>
      <c r="J42" s="322">
        <f>'Maximum FTE allowable'!M10</f>
        <v>16.575000000000003</v>
      </c>
      <c r="K42" s="322">
        <f>'Maximum FTE allowable'!N10</f>
        <v>5.5500000000000007</v>
      </c>
      <c r="L42" s="322">
        <f>'Maximum FTE allowable'!O10</f>
        <v>11.399999999999999</v>
      </c>
      <c r="M42" s="322">
        <f>'Maximum FTE allowable'!P10</f>
        <v>10.125</v>
      </c>
      <c r="N42" s="322">
        <f>'Maximum FTE allowable'!Q10</f>
        <v>10.725000000000001</v>
      </c>
      <c r="O42" s="322">
        <f>'Maximum FTE allowable'!R10</f>
        <v>7.7250000000000005</v>
      </c>
      <c r="P42" s="322">
        <f>'Maximum FTE allowable'!S10</f>
        <v>8.25</v>
      </c>
      <c r="Q42" s="322">
        <f>'Maximum FTE allowable'!T10</f>
        <v>11.7</v>
      </c>
    </row>
    <row r="43" spans="3:17" ht="14.25" x14ac:dyDescent="0.2">
      <c r="C43" s="319"/>
      <c r="D43" s="320"/>
      <c r="E43" s="320"/>
      <c r="F43" s="320"/>
      <c r="G43" s="320"/>
      <c r="H43" s="320"/>
      <c r="I43" s="320"/>
      <c r="J43" s="320"/>
      <c r="K43" s="320"/>
      <c r="L43" s="320"/>
      <c r="M43" s="320"/>
      <c r="N43" s="320"/>
      <c r="O43" s="320"/>
      <c r="P43" s="320"/>
      <c r="Q43" s="320"/>
    </row>
    <row r="44" spans="3:17" ht="28.5" x14ac:dyDescent="0.2">
      <c r="C44" s="330" t="s">
        <v>293</v>
      </c>
      <c r="D44" s="320">
        <v>8853.1701500000036</v>
      </c>
      <c r="E44" s="320">
        <v>8853.1701499999999</v>
      </c>
      <c r="F44" s="320">
        <v>9576.5445874999987</v>
      </c>
      <c r="G44" s="320">
        <v>9576.5445874999987</v>
      </c>
      <c r="H44" s="320">
        <v>9576.5445874999987</v>
      </c>
      <c r="I44" s="320">
        <v>9576.5445874999987</v>
      </c>
      <c r="J44" s="320">
        <v>9135.9008125</v>
      </c>
      <c r="K44" s="320">
        <v>9135.9008125</v>
      </c>
      <c r="L44" s="320">
        <v>9135.9008125</v>
      </c>
      <c r="M44" s="320">
        <v>9135.9008125</v>
      </c>
      <c r="N44" s="320">
        <v>9135.9008125</v>
      </c>
      <c r="O44" s="320">
        <v>9135.9008125</v>
      </c>
      <c r="P44" s="320">
        <v>10276.2793375</v>
      </c>
      <c r="Q44" s="320">
        <v>10276.2793375</v>
      </c>
    </row>
    <row r="45" spans="3:17" ht="42.75" x14ac:dyDescent="0.2">
      <c r="C45" s="323" t="s">
        <v>292</v>
      </c>
    </row>
    <row r="47" spans="3:17" x14ac:dyDescent="0.2">
      <c r="D47" s="83"/>
    </row>
    <row r="48" spans="3:17" ht="13.5" thickBot="1" x14ac:dyDescent="0.25">
      <c r="C48" s="17"/>
      <c r="D48" s="17"/>
      <c r="E48" s="17"/>
      <c r="F48" s="17"/>
      <c r="G48" s="17"/>
      <c r="H48" s="17"/>
      <c r="I48" s="17"/>
      <c r="J48" s="17"/>
      <c r="K48" s="17"/>
      <c r="L48" s="17"/>
      <c r="M48" s="17"/>
      <c r="N48" s="17"/>
      <c r="O48" s="17"/>
      <c r="P48" s="17"/>
      <c r="Q48" s="17"/>
    </row>
    <row r="49" spans="3:17" ht="23.25" x14ac:dyDescent="0.35">
      <c r="C49" s="302" t="s">
        <v>273</v>
      </c>
      <c r="D49" s="303"/>
      <c r="E49" s="303"/>
      <c r="F49" s="303"/>
      <c r="G49" s="303"/>
      <c r="H49" s="303"/>
      <c r="I49" s="303"/>
      <c r="J49" s="303"/>
      <c r="K49" s="303"/>
      <c r="L49" s="303"/>
      <c r="M49" s="303"/>
      <c r="N49" s="303"/>
      <c r="O49" s="303"/>
      <c r="P49" s="303"/>
      <c r="Q49" s="304"/>
    </row>
    <row r="50" spans="3:17" ht="12" customHeight="1" x14ac:dyDescent="0.35">
      <c r="C50" s="172"/>
      <c r="D50" s="173"/>
      <c r="E50" s="173"/>
      <c r="F50" s="173"/>
      <c r="G50" s="173"/>
      <c r="H50" s="173"/>
      <c r="I50" s="173"/>
      <c r="J50" s="173"/>
      <c r="K50" s="173"/>
      <c r="L50" s="173"/>
      <c r="M50" s="173"/>
      <c r="N50" s="173"/>
      <c r="O50" s="173"/>
      <c r="P50" s="173"/>
      <c r="Q50" s="174"/>
    </row>
    <row r="51" spans="3:17" ht="23.25" x14ac:dyDescent="0.35">
      <c r="C51" s="172"/>
      <c r="D51" s="173" t="s">
        <v>95</v>
      </c>
      <c r="H51" s="173" t="s">
        <v>96</v>
      </c>
      <c r="I51" s="173"/>
      <c r="J51" s="173"/>
      <c r="K51" s="173"/>
      <c r="L51" s="173" t="s">
        <v>97</v>
      </c>
      <c r="M51" s="173"/>
      <c r="N51" s="173"/>
      <c r="O51" s="173"/>
      <c r="P51" s="173" t="s">
        <v>98</v>
      </c>
      <c r="Q51" s="94"/>
    </row>
    <row r="52" spans="3:17" ht="12.75" customHeight="1" x14ac:dyDescent="0.35">
      <c r="C52" s="172"/>
      <c r="D52" s="173"/>
      <c r="H52" s="173"/>
      <c r="I52" s="173"/>
      <c r="J52" s="173"/>
      <c r="K52" s="173"/>
      <c r="L52" s="173"/>
      <c r="M52" s="173"/>
      <c r="N52" s="173"/>
      <c r="O52" s="173"/>
      <c r="P52" s="173"/>
      <c r="Q52" s="94"/>
    </row>
    <row r="53" spans="3:17" ht="23.25" x14ac:dyDescent="0.35">
      <c r="C53" s="195" t="s">
        <v>202</v>
      </c>
      <c r="D53" s="194" t="s">
        <v>215</v>
      </c>
      <c r="E53" s="196"/>
      <c r="F53" s="196"/>
      <c r="G53" s="196"/>
      <c r="H53" s="196"/>
      <c r="I53" s="196"/>
      <c r="J53" s="196"/>
      <c r="K53" s="196"/>
      <c r="L53" s="196"/>
      <c r="M53" s="196"/>
      <c r="N53" s="196"/>
      <c r="O53" s="196"/>
      <c r="P53" s="196"/>
      <c r="Q53" s="197"/>
    </row>
    <row r="54" spans="3:17" ht="23.25" x14ac:dyDescent="0.35">
      <c r="C54" s="175" t="s">
        <v>116</v>
      </c>
      <c r="D54" s="176">
        <f t="shared" ref="D54:D60" si="0">ROUND((1-$D$35)*D12,0)</f>
        <v>258</v>
      </c>
      <c r="E54" s="177"/>
      <c r="F54" s="177"/>
      <c r="G54" s="177"/>
      <c r="H54" s="176">
        <f t="shared" ref="H54:H60" si="1">ROUND((1-$D$35)*H12,0)</f>
        <v>275</v>
      </c>
      <c r="I54" s="176"/>
      <c r="J54" s="176"/>
      <c r="K54" s="176"/>
      <c r="L54" s="176">
        <f>ROUND((1-$D$35)*L12,0)</f>
        <v>264</v>
      </c>
      <c r="M54" s="178"/>
      <c r="N54" s="178"/>
      <c r="O54" s="178"/>
      <c r="P54" s="176">
        <f t="shared" ref="P54:P60" si="2">ROUND((1-$D$35)*O12,0)</f>
        <v>293</v>
      </c>
      <c r="Q54" s="174"/>
    </row>
    <row r="55" spans="3:17" ht="23.25" x14ac:dyDescent="0.35">
      <c r="C55" s="175" t="s">
        <v>117</v>
      </c>
      <c r="D55" s="176">
        <f t="shared" si="0"/>
        <v>278</v>
      </c>
      <c r="E55" s="177"/>
      <c r="F55" s="177"/>
      <c r="G55" s="177"/>
      <c r="H55" s="176">
        <f t="shared" si="1"/>
        <v>296</v>
      </c>
      <c r="I55" s="178"/>
      <c r="J55" s="178"/>
      <c r="K55" s="178"/>
      <c r="L55" s="176">
        <f t="shared" ref="L55:L60" si="3">ROUND((1-$D$35)*L13,0)</f>
        <v>284</v>
      </c>
      <c r="M55" s="178"/>
      <c r="N55" s="178"/>
      <c r="O55" s="178"/>
      <c r="P55" s="176">
        <f t="shared" si="2"/>
        <v>316</v>
      </c>
      <c r="Q55" s="174"/>
    </row>
    <row r="56" spans="3:17" ht="23.25" x14ac:dyDescent="0.35">
      <c r="C56" s="175" t="s">
        <v>118</v>
      </c>
      <c r="D56" s="176">
        <f t="shared" si="0"/>
        <v>301</v>
      </c>
      <c r="E56" s="178"/>
      <c r="F56" s="178"/>
      <c r="G56" s="178"/>
      <c r="H56" s="176">
        <f t="shared" si="1"/>
        <v>320</v>
      </c>
      <c r="I56" s="178"/>
      <c r="J56" s="178"/>
      <c r="K56" s="178"/>
      <c r="L56" s="176">
        <f t="shared" si="3"/>
        <v>308</v>
      </c>
      <c r="M56" s="178"/>
      <c r="N56" s="178"/>
      <c r="O56" s="178"/>
      <c r="P56" s="176">
        <f t="shared" si="2"/>
        <v>342</v>
      </c>
      <c r="Q56" s="174"/>
    </row>
    <row r="57" spans="3:17" ht="23.25" x14ac:dyDescent="0.35">
      <c r="C57" s="175" t="s">
        <v>119</v>
      </c>
      <c r="D57" s="176">
        <f t="shared" si="0"/>
        <v>330</v>
      </c>
      <c r="E57" s="178"/>
      <c r="F57" s="178"/>
      <c r="G57" s="178"/>
      <c r="H57" s="176">
        <f t="shared" si="1"/>
        <v>350</v>
      </c>
      <c r="I57" s="178"/>
      <c r="J57" s="178"/>
      <c r="K57" s="178"/>
      <c r="L57" s="176">
        <f t="shared" si="3"/>
        <v>337</v>
      </c>
      <c r="M57" s="178"/>
      <c r="N57" s="178"/>
      <c r="O57" s="178"/>
      <c r="P57" s="176">
        <f t="shared" si="2"/>
        <v>373</v>
      </c>
      <c r="Q57" s="174"/>
    </row>
    <row r="58" spans="3:17" ht="23.25" x14ac:dyDescent="0.35">
      <c r="C58" s="175" t="s">
        <v>120</v>
      </c>
      <c r="D58" s="176">
        <f t="shared" si="0"/>
        <v>408</v>
      </c>
      <c r="E58" s="178"/>
      <c r="F58" s="178"/>
      <c r="G58" s="178"/>
      <c r="H58" s="176">
        <f t="shared" si="1"/>
        <v>434</v>
      </c>
      <c r="I58" s="178"/>
      <c r="J58" s="178"/>
      <c r="K58" s="178"/>
      <c r="L58" s="176">
        <f t="shared" si="3"/>
        <v>418</v>
      </c>
      <c r="M58" s="178"/>
      <c r="N58" s="178"/>
      <c r="O58" s="178"/>
      <c r="P58" s="176">
        <f t="shared" si="2"/>
        <v>463</v>
      </c>
      <c r="Q58" s="174"/>
    </row>
    <row r="59" spans="3:17" ht="23.25" x14ac:dyDescent="0.35">
      <c r="C59" s="175" t="s">
        <v>121</v>
      </c>
      <c r="D59" s="176">
        <f t="shared" si="0"/>
        <v>435</v>
      </c>
      <c r="E59" s="177"/>
      <c r="F59" s="177"/>
      <c r="G59" s="177"/>
      <c r="H59" s="176">
        <f t="shared" si="1"/>
        <v>462</v>
      </c>
      <c r="I59" s="178"/>
      <c r="J59" s="178"/>
      <c r="K59" s="178"/>
      <c r="L59" s="176">
        <f t="shared" si="3"/>
        <v>445</v>
      </c>
      <c r="M59" s="178"/>
      <c r="N59" s="178"/>
      <c r="O59" s="178"/>
      <c r="P59" s="176">
        <f t="shared" si="2"/>
        <v>493</v>
      </c>
      <c r="Q59" s="174"/>
    </row>
    <row r="60" spans="3:17" ht="23.25" x14ac:dyDescent="0.35">
      <c r="C60" s="179" t="s">
        <v>122</v>
      </c>
      <c r="D60" s="180">
        <f t="shared" si="0"/>
        <v>502</v>
      </c>
      <c r="E60" s="181"/>
      <c r="F60" s="181"/>
      <c r="G60" s="181"/>
      <c r="H60" s="180">
        <f t="shared" si="1"/>
        <v>534</v>
      </c>
      <c r="I60" s="181"/>
      <c r="J60" s="181"/>
      <c r="K60" s="181"/>
      <c r="L60" s="180">
        <f t="shared" si="3"/>
        <v>513</v>
      </c>
      <c r="M60" s="181"/>
      <c r="N60" s="181"/>
      <c r="O60" s="181"/>
      <c r="P60" s="180">
        <f t="shared" si="2"/>
        <v>568</v>
      </c>
      <c r="Q60" s="182"/>
    </row>
    <row r="61" spans="3:17" ht="23.25" x14ac:dyDescent="0.35">
      <c r="C61" s="98"/>
      <c r="D61" s="173"/>
      <c r="E61" s="173"/>
      <c r="F61" s="173"/>
      <c r="G61" s="173"/>
      <c r="H61" s="173"/>
      <c r="I61" s="173"/>
      <c r="J61" s="173"/>
      <c r="K61" s="173"/>
      <c r="L61" s="173"/>
      <c r="M61" s="173"/>
      <c r="N61" s="173"/>
      <c r="O61" s="173"/>
      <c r="P61" s="173"/>
      <c r="Q61" s="174"/>
    </row>
    <row r="62" spans="3:17" ht="23.25" x14ac:dyDescent="0.35">
      <c r="C62" s="195" t="s">
        <v>201</v>
      </c>
      <c r="D62" s="196"/>
      <c r="E62" s="196"/>
      <c r="F62" s="196"/>
      <c r="G62" s="196"/>
      <c r="H62" s="196"/>
      <c r="I62" s="196"/>
      <c r="J62" s="196"/>
      <c r="K62" s="196"/>
      <c r="L62" s="196"/>
      <c r="M62" s="196"/>
      <c r="N62" s="196"/>
      <c r="O62" s="196"/>
      <c r="P62" s="196"/>
      <c r="Q62" s="197"/>
    </row>
    <row r="63" spans="3:17" ht="23.25" x14ac:dyDescent="0.35">
      <c r="C63" s="98"/>
      <c r="D63" s="173"/>
      <c r="E63" s="173"/>
      <c r="F63" s="173"/>
      <c r="G63" s="173"/>
      <c r="H63" s="173"/>
      <c r="I63" s="173"/>
      <c r="J63" s="173"/>
      <c r="K63" s="173"/>
      <c r="L63" s="173"/>
      <c r="M63" s="173"/>
      <c r="N63" s="173"/>
      <c r="O63" s="173"/>
      <c r="P63" s="173"/>
      <c r="Q63" s="174"/>
    </row>
    <row r="64" spans="3:17" ht="15" x14ac:dyDescent="0.2">
      <c r="C64" s="93"/>
      <c r="D64" s="183">
        <f>(1-$D$35)*D21</f>
        <v>29.1616</v>
      </c>
      <c r="E64" s="183"/>
      <c r="F64" s="183"/>
      <c r="G64" s="183"/>
      <c r="H64" s="183">
        <f>(1-$D$35)*H21</f>
        <v>30.076800000000002</v>
      </c>
      <c r="I64" s="183"/>
      <c r="J64" s="183"/>
      <c r="K64" s="177"/>
      <c r="L64" s="183">
        <f>(1-$D$35)*K21</f>
        <v>29.494399999999999</v>
      </c>
      <c r="M64" s="183"/>
      <c r="N64" s="183"/>
      <c r="O64" s="183"/>
      <c r="P64" s="183">
        <f>(1-$D$35)*O21</f>
        <v>32.593600000000002</v>
      </c>
      <c r="Q64" s="94"/>
    </row>
    <row r="65" spans="3:17" x14ac:dyDescent="0.2">
      <c r="C65" s="93"/>
      <c r="D65" s="83"/>
      <c r="E65" s="83"/>
      <c r="F65" s="83"/>
      <c r="G65" s="83"/>
      <c r="H65" s="83"/>
      <c r="I65" s="83"/>
      <c r="J65" s="83"/>
      <c r="K65" s="83"/>
      <c r="L65" s="83"/>
      <c r="M65" s="83"/>
      <c r="N65" s="83"/>
      <c r="O65" s="83"/>
      <c r="P65" s="83"/>
      <c r="Q65" s="100"/>
    </row>
    <row r="66" spans="3:17" ht="51.75" customHeight="1" x14ac:dyDescent="0.25">
      <c r="C66" s="371" t="s">
        <v>199</v>
      </c>
      <c r="D66" s="364"/>
      <c r="E66" s="184"/>
      <c r="F66" s="184"/>
      <c r="G66" s="184"/>
      <c r="H66" s="83"/>
      <c r="I66" s="83"/>
      <c r="J66" s="83"/>
      <c r="K66" s="83"/>
      <c r="L66" s="83"/>
      <c r="M66" s="83"/>
      <c r="N66" s="83"/>
      <c r="O66" s="83"/>
      <c r="P66" s="83"/>
      <c r="Q66" s="100"/>
    </row>
    <row r="67" spans="3:17" ht="15" x14ac:dyDescent="0.25">
      <c r="C67" s="98" t="s">
        <v>194</v>
      </c>
      <c r="D67" s="158">
        <v>9</v>
      </c>
      <c r="E67" s="83"/>
      <c r="F67" s="83"/>
      <c r="G67" s="83"/>
      <c r="H67" s="83"/>
      <c r="I67" s="83"/>
      <c r="J67" s="83"/>
      <c r="K67" s="83"/>
      <c r="L67" s="83"/>
      <c r="M67" s="83"/>
      <c r="N67" s="83"/>
      <c r="O67" s="83"/>
      <c r="P67" s="83"/>
      <c r="Q67" s="100"/>
    </row>
    <row r="68" spans="3:17" ht="15" x14ac:dyDescent="0.25">
      <c r="C68" s="98" t="s">
        <v>195</v>
      </c>
      <c r="D68" s="158">
        <v>12</v>
      </c>
      <c r="E68" s="83"/>
      <c r="F68" s="83"/>
      <c r="G68" s="83"/>
      <c r="H68" s="83"/>
      <c r="I68" s="83"/>
      <c r="J68" s="83"/>
      <c r="K68" s="83"/>
      <c r="L68" s="83"/>
      <c r="M68" s="83"/>
      <c r="N68" s="83"/>
      <c r="O68" s="83"/>
      <c r="P68" s="83"/>
      <c r="Q68" s="100"/>
    </row>
    <row r="69" spans="3:17" ht="15" x14ac:dyDescent="0.25">
      <c r="C69" s="98" t="s">
        <v>196</v>
      </c>
      <c r="D69" s="158">
        <v>15</v>
      </c>
      <c r="E69" s="83"/>
      <c r="F69" s="83"/>
      <c r="G69" s="83"/>
      <c r="H69" s="83"/>
      <c r="I69" s="83"/>
      <c r="J69" s="83"/>
      <c r="K69" s="83"/>
      <c r="L69" s="83"/>
      <c r="M69" s="83"/>
      <c r="N69" s="83"/>
      <c r="O69" s="83"/>
      <c r="P69" s="83"/>
      <c r="Q69" s="100"/>
    </row>
    <row r="70" spans="3:17" ht="15" x14ac:dyDescent="0.25">
      <c r="C70" s="98" t="s">
        <v>197</v>
      </c>
      <c r="D70" s="158">
        <v>17</v>
      </c>
      <c r="E70" s="83"/>
      <c r="F70" s="83"/>
      <c r="G70" s="83"/>
      <c r="H70" s="83"/>
      <c r="I70" s="83"/>
      <c r="J70" s="83"/>
      <c r="K70" s="83"/>
      <c r="L70" s="83"/>
      <c r="M70" s="83"/>
      <c r="N70" s="83"/>
      <c r="O70" s="83"/>
      <c r="P70" s="83"/>
      <c r="Q70" s="100"/>
    </row>
    <row r="71" spans="3:17" ht="15" x14ac:dyDescent="0.25">
      <c r="C71" s="98" t="s">
        <v>198</v>
      </c>
      <c r="D71" s="158">
        <v>20</v>
      </c>
      <c r="E71" s="83"/>
      <c r="F71" s="83"/>
      <c r="G71" s="83"/>
      <c r="H71" s="83"/>
      <c r="I71" s="83"/>
      <c r="J71" s="83"/>
      <c r="K71" s="83"/>
      <c r="L71" s="83"/>
      <c r="M71" s="83"/>
      <c r="N71" s="83"/>
      <c r="O71" s="83"/>
      <c r="P71" s="83"/>
      <c r="Q71" s="100"/>
    </row>
    <row r="72" spans="3:17" x14ac:dyDescent="0.2">
      <c r="C72" s="93"/>
      <c r="D72" s="83"/>
      <c r="E72" s="83"/>
      <c r="F72" s="83"/>
      <c r="G72" s="83"/>
      <c r="H72" s="83"/>
      <c r="I72" s="83"/>
      <c r="J72" s="83"/>
      <c r="K72" s="83"/>
      <c r="L72" s="83"/>
      <c r="M72" s="83"/>
      <c r="N72" s="83"/>
      <c r="O72" s="83"/>
      <c r="P72" s="83"/>
      <c r="Q72" s="100"/>
    </row>
    <row r="73" spans="3:17" ht="13.5" thickBot="1" x14ac:dyDescent="0.25">
      <c r="C73" s="101"/>
      <c r="D73" s="102"/>
      <c r="E73" s="102"/>
      <c r="F73" s="102"/>
      <c r="G73" s="102"/>
      <c r="H73" s="102"/>
      <c r="I73" s="102"/>
      <c r="J73" s="102"/>
      <c r="K73" s="102"/>
      <c r="L73" s="102"/>
      <c r="M73" s="102"/>
      <c r="N73" s="102"/>
      <c r="O73" s="102"/>
      <c r="P73" s="102"/>
      <c r="Q73" s="103"/>
    </row>
    <row r="74" spans="3:17" x14ac:dyDescent="0.2">
      <c r="C74" s="93" t="s">
        <v>322</v>
      </c>
    </row>
    <row r="75" spans="3:17" x14ac:dyDescent="0.2">
      <c r="J75" s="43"/>
    </row>
    <row r="77" spans="3:17" ht="15.75" x14ac:dyDescent="0.25">
      <c r="J77" s="367" t="s">
        <v>296</v>
      </c>
      <c r="K77" s="367"/>
      <c r="L77" s="367"/>
    </row>
    <row r="78" spans="3:17" ht="16.5" x14ac:dyDescent="0.3">
      <c r="J78" s="342" t="s">
        <v>298</v>
      </c>
      <c r="K78" s="343"/>
      <c r="L78" s="343"/>
      <c r="M78" s="343"/>
      <c r="N78" s="343"/>
      <c r="O78" s="294"/>
    </row>
    <row r="79" spans="3:17" x14ac:dyDescent="0.2">
      <c r="C79" s="17" t="s">
        <v>114</v>
      </c>
      <c r="D79" s="109" t="s">
        <v>115</v>
      </c>
      <c r="J79" s="257" t="s">
        <v>300</v>
      </c>
      <c r="O79" s="36"/>
    </row>
    <row r="80" spans="3:17" ht="13.5" customHeight="1" x14ac:dyDescent="0.2">
      <c r="J80" s="257" t="s">
        <v>301</v>
      </c>
      <c r="O80" s="36"/>
    </row>
    <row r="81" spans="3:15" x14ac:dyDescent="0.2">
      <c r="J81" s="257" t="s">
        <v>302</v>
      </c>
      <c r="O81" s="36"/>
    </row>
    <row r="82" spans="3:15" x14ac:dyDescent="0.2">
      <c r="J82" s="263"/>
      <c r="O82" s="36"/>
    </row>
    <row r="83" spans="3:15" x14ac:dyDescent="0.2">
      <c r="J83" s="257" t="s">
        <v>299</v>
      </c>
      <c r="O83" s="36"/>
    </row>
    <row r="84" spans="3:15" ht="25.5" x14ac:dyDescent="0.2">
      <c r="J84" s="268" t="s">
        <v>249</v>
      </c>
      <c r="K84" s="272" t="s">
        <v>257</v>
      </c>
      <c r="O84" s="36"/>
    </row>
    <row r="85" spans="3:15" ht="13.5" thickBot="1" x14ac:dyDescent="0.25">
      <c r="C85" s="17"/>
      <c r="J85" s="269" t="s">
        <v>250</v>
      </c>
      <c r="K85" s="338">
        <v>2</v>
      </c>
      <c r="O85" s="36"/>
    </row>
    <row r="86" spans="3:15" ht="28.5" customHeight="1" x14ac:dyDescent="0.2">
      <c r="C86" s="368" t="s">
        <v>131</v>
      </c>
      <c r="D86" s="112"/>
      <c r="E86" s="112"/>
      <c r="F86" s="113" t="s">
        <v>76</v>
      </c>
      <c r="G86" s="114"/>
      <c r="J86" s="269" t="s">
        <v>251</v>
      </c>
      <c r="K86" s="338"/>
      <c r="O86" s="36"/>
    </row>
    <row r="87" spans="3:15" ht="15" x14ac:dyDescent="0.25">
      <c r="C87" s="369"/>
      <c r="E87" s="96" t="s">
        <v>74</v>
      </c>
      <c r="F87" s="97" t="s">
        <v>78</v>
      </c>
      <c r="G87" s="94"/>
      <c r="J87" s="269" t="s">
        <v>252</v>
      </c>
      <c r="K87" s="339"/>
      <c r="O87" s="36"/>
    </row>
    <row r="88" spans="3:15" x14ac:dyDescent="0.2">
      <c r="C88" s="369"/>
      <c r="E88" s="96" t="s">
        <v>100</v>
      </c>
      <c r="F88" s="97" t="s">
        <v>132</v>
      </c>
      <c r="G88" s="94"/>
      <c r="J88" s="269" t="s">
        <v>253</v>
      </c>
      <c r="K88" s="338"/>
      <c r="O88" s="36"/>
    </row>
    <row r="89" spans="3:15" x14ac:dyDescent="0.2">
      <c r="C89" s="369"/>
      <c r="D89" s="95" t="s">
        <v>99</v>
      </c>
      <c r="E89" s="96" t="s">
        <v>71</v>
      </c>
      <c r="F89" s="97" t="s">
        <v>133</v>
      </c>
      <c r="G89" s="94"/>
      <c r="J89" s="269" t="s">
        <v>254</v>
      </c>
      <c r="K89" s="338"/>
      <c r="O89" s="36"/>
    </row>
    <row r="90" spans="3:15" ht="15.75" thickBot="1" x14ac:dyDescent="0.3">
      <c r="C90" s="370"/>
      <c r="D90" s="115" t="s">
        <v>134</v>
      </c>
      <c r="E90" s="116" t="s">
        <v>72</v>
      </c>
      <c r="F90" s="117" t="s">
        <v>77</v>
      </c>
      <c r="G90" s="118" t="s">
        <v>80</v>
      </c>
      <c r="J90" s="269" t="s">
        <v>255</v>
      </c>
      <c r="K90" s="338"/>
      <c r="O90" s="36"/>
    </row>
    <row r="91" spans="3:15" ht="22.5" customHeight="1" x14ac:dyDescent="0.25">
      <c r="C91" s="368" t="s">
        <v>135</v>
      </c>
      <c r="D91" s="119" t="s">
        <v>136</v>
      </c>
      <c r="E91" s="119" t="s">
        <v>137</v>
      </c>
      <c r="F91" s="119" t="s">
        <v>138</v>
      </c>
      <c r="G91" s="120" t="s">
        <v>139</v>
      </c>
      <c r="J91" s="270" t="s">
        <v>256</v>
      </c>
      <c r="K91" s="341">
        <v>5</v>
      </c>
      <c r="O91" s="36"/>
    </row>
    <row r="92" spans="3:15" ht="15" x14ac:dyDescent="0.25">
      <c r="C92" s="369"/>
      <c r="D92" s="121" t="s">
        <v>140</v>
      </c>
      <c r="E92" s="121" t="s">
        <v>141</v>
      </c>
      <c r="F92" s="121" t="s">
        <v>142</v>
      </c>
      <c r="G92" s="94"/>
      <c r="J92" s="263"/>
      <c r="O92" s="36"/>
    </row>
    <row r="93" spans="3:15" ht="15" x14ac:dyDescent="0.25">
      <c r="C93" s="369"/>
      <c r="D93" s="121" t="s">
        <v>143</v>
      </c>
      <c r="E93" s="121" t="s">
        <v>144</v>
      </c>
      <c r="F93" s="121" t="s">
        <v>145</v>
      </c>
      <c r="G93" s="94"/>
      <c r="J93" s="263"/>
      <c r="O93" s="36"/>
    </row>
    <row r="94" spans="3:15" ht="18" x14ac:dyDescent="0.25">
      <c r="C94" s="369"/>
      <c r="D94" s="121" t="s">
        <v>146</v>
      </c>
      <c r="E94" s="121" t="s">
        <v>147</v>
      </c>
      <c r="F94" s="121" t="s">
        <v>148</v>
      </c>
      <c r="G94" s="94"/>
      <c r="J94" s="344" t="s">
        <v>297</v>
      </c>
      <c r="O94" s="36"/>
    </row>
    <row r="95" spans="3:15" ht="15.75" x14ac:dyDescent="0.25">
      <c r="C95" s="369"/>
      <c r="D95" s="121" t="s">
        <v>149</v>
      </c>
      <c r="E95" s="121" t="s">
        <v>150</v>
      </c>
      <c r="F95" s="121" t="s">
        <v>151</v>
      </c>
      <c r="G95" s="94"/>
      <c r="J95" s="340">
        <v>20</v>
      </c>
      <c r="O95" s="36"/>
    </row>
    <row r="96" spans="3:15" ht="15" x14ac:dyDescent="0.25">
      <c r="C96" s="369"/>
      <c r="D96" s="121" t="s">
        <v>152</v>
      </c>
      <c r="E96" s="121" t="s">
        <v>153</v>
      </c>
      <c r="F96" s="121" t="s">
        <v>154</v>
      </c>
      <c r="G96" s="94"/>
      <c r="J96" s="263"/>
      <c r="O96" s="36"/>
    </row>
    <row r="97" spans="3:15" ht="15.75" thickBot="1" x14ac:dyDescent="0.3">
      <c r="C97" s="369"/>
      <c r="E97" s="121" t="s">
        <v>155</v>
      </c>
      <c r="F97" s="121" t="s">
        <v>156</v>
      </c>
      <c r="G97" s="94"/>
      <c r="J97" s="263"/>
      <c r="O97" s="36"/>
    </row>
    <row r="98" spans="3:15" ht="15.75" thickBot="1" x14ac:dyDescent="0.3">
      <c r="C98" s="369"/>
      <c r="E98" s="121" t="s">
        <v>157</v>
      </c>
      <c r="F98" s="121" t="s">
        <v>78</v>
      </c>
      <c r="G98" s="94"/>
      <c r="J98" s="271">
        <f>ROUND(J95-((40/'Rate Assumption '!C28*$K$85)+(40/'Rate Assumption '!C29*K86)+(40/'Rate Assumption '!C30*K87)+(40/'Rate Assumption '!C31*K88)+(40/'Rate Assumption '!C32*K89)+(40/'Rate Assumption '!C33*K90)+(40/'Rate Assumption '!C34*K91)),0)</f>
        <v>0</v>
      </c>
      <c r="K98" s="345" t="s">
        <v>303</v>
      </c>
      <c r="L98" s="185"/>
      <c r="M98" s="185"/>
      <c r="N98" s="185"/>
      <c r="O98" s="260"/>
    </row>
    <row r="99" spans="3:15" ht="15" x14ac:dyDescent="0.25">
      <c r="C99" s="369"/>
      <c r="E99" s="121" t="s">
        <v>158</v>
      </c>
      <c r="F99" s="121" t="s">
        <v>159</v>
      </c>
      <c r="G99" s="94"/>
    </row>
    <row r="100" spans="3:15" ht="15" x14ac:dyDescent="0.25">
      <c r="C100" s="369"/>
      <c r="E100" s="121" t="s">
        <v>160</v>
      </c>
      <c r="F100" s="121" t="s">
        <v>161</v>
      </c>
      <c r="G100" s="94"/>
    </row>
    <row r="101" spans="3:15" ht="15" x14ac:dyDescent="0.25">
      <c r="C101" s="369"/>
      <c r="E101" s="121" t="s">
        <v>162</v>
      </c>
      <c r="F101" s="121" t="s">
        <v>163</v>
      </c>
      <c r="G101" s="94"/>
    </row>
    <row r="102" spans="3:15" ht="15" x14ac:dyDescent="0.25">
      <c r="C102" s="369"/>
      <c r="E102" s="121" t="s">
        <v>164</v>
      </c>
      <c r="F102" s="121" t="s">
        <v>165</v>
      </c>
      <c r="G102" s="94"/>
    </row>
    <row r="103" spans="3:15" ht="15" x14ac:dyDescent="0.25">
      <c r="C103" s="369"/>
      <c r="E103" s="121" t="s">
        <v>166</v>
      </c>
      <c r="F103" s="105" t="s">
        <v>167</v>
      </c>
      <c r="G103" s="94"/>
    </row>
    <row r="104" spans="3:15" ht="15" x14ac:dyDescent="0.25">
      <c r="C104" s="369"/>
      <c r="E104" s="121" t="s">
        <v>168</v>
      </c>
      <c r="G104" s="94"/>
    </row>
    <row r="105" spans="3:15" ht="15" x14ac:dyDescent="0.25">
      <c r="C105" s="369"/>
      <c r="E105" s="121" t="s">
        <v>169</v>
      </c>
      <c r="G105" s="94"/>
    </row>
    <row r="106" spans="3:15" ht="15" x14ac:dyDescent="0.25">
      <c r="C106" s="369"/>
      <c r="E106" s="121" t="s">
        <v>170</v>
      </c>
      <c r="G106" s="94"/>
    </row>
    <row r="107" spans="3:15" ht="15" x14ac:dyDescent="0.25">
      <c r="C107" s="369"/>
      <c r="E107" s="121" t="s">
        <v>171</v>
      </c>
      <c r="G107" s="94"/>
    </row>
    <row r="108" spans="3:15" ht="15" x14ac:dyDescent="0.25">
      <c r="C108" s="369"/>
      <c r="E108" s="121" t="s">
        <v>172</v>
      </c>
      <c r="G108" s="94"/>
    </row>
    <row r="109" spans="3:15" ht="15.75" thickBot="1" x14ac:dyDescent="0.3">
      <c r="C109" s="370"/>
      <c r="D109" s="122"/>
      <c r="E109" s="123" t="s">
        <v>173</v>
      </c>
      <c r="F109" s="122"/>
      <c r="G109" s="124"/>
    </row>
    <row r="110" spans="3:15" x14ac:dyDescent="0.2">
      <c r="D110" s="17"/>
      <c r="F110" s="17"/>
    </row>
    <row r="112" spans="3:15" x14ac:dyDescent="0.2">
      <c r="F112" s="17"/>
    </row>
    <row r="114" spans="6:6" x14ac:dyDescent="0.2">
      <c r="F114" s="17"/>
    </row>
  </sheetData>
  <mergeCells count="11">
    <mergeCell ref="C86:C90"/>
    <mergeCell ref="C91:C109"/>
    <mergeCell ref="C66:D66"/>
    <mergeCell ref="C27:Q27"/>
    <mergeCell ref="J77:L77"/>
    <mergeCell ref="C2:Q2"/>
    <mergeCell ref="C3:Q3"/>
    <mergeCell ref="C5:Q5"/>
    <mergeCell ref="D7:E7"/>
    <mergeCell ref="F7:I7"/>
    <mergeCell ref="J7:N7"/>
  </mergeCells>
  <phoneticPr fontId="16" type="noConversion"/>
  <conditionalFormatting sqref="D12:O18">
    <cfRule type="cellIs" dxfId="1" priority="5" operator="lessThan">
      <formula>481</formula>
    </cfRule>
  </conditionalFormatting>
  <conditionalFormatting sqref="J98">
    <cfRule type="cellIs" dxfId="0" priority="2" operator="lessThan">
      <formula>0</formula>
    </cfRule>
  </conditionalFormatting>
  <hyperlinks>
    <hyperlink ref="D79" r:id="rId1" display="https://ofm.wa.gov/accounting/administrative-accounting-resources/travel" xr:uid="{8F81759A-9FD7-40EA-8727-C4D9A211B5EC}"/>
  </hyperlinks>
  <pageMargins left="0.7" right="0.7" top="0.75" bottom="0.75" header="0.3" footer="0.3"/>
  <pageSetup orientation="portrait" horizontalDpi="90" verticalDpi="90" r:id="rId2"/>
  <ignoredErrors>
    <ignoredError sqref="L7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4B2B-E0AC-4076-BF0B-74A4971C950B}">
  <sheetPr>
    <tabColor theme="8" tint="0.79998168889431442"/>
  </sheetPr>
  <dimension ref="B2:O44"/>
  <sheetViews>
    <sheetView workbookViewId="0">
      <selection activeCell="E27" sqref="E27"/>
    </sheetView>
  </sheetViews>
  <sheetFormatPr defaultRowHeight="15" x14ac:dyDescent="0.25"/>
  <cols>
    <col min="1" max="1" width="9.140625" style="198"/>
    <col min="2" max="2" width="22.42578125" style="198" customWidth="1"/>
    <col min="3" max="3" width="15.42578125" style="198" customWidth="1"/>
    <col min="4" max="4" width="13.28515625" style="198" customWidth="1"/>
    <col min="5" max="5" width="15.42578125" style="198" customWidth="1"/>
    <col min="6" max="6" width="13.28515625" style="198" customWidth="1"/>
    <col min="7" max="7" width="18.85546875" style="198" customWidth="1"/>
    <col min="8" max="8" width="9.140625" style="198"/>
    <col min="9" max="9" width="4.7109375" style="198" customWidth="1"/>
    <col min="10" max="10" width="19.85546875" style="198" customWidth="1"/>
    <col min="11" max="11" width="20.85546875" style="198" customWidth="1"/>
    <col min="12" max="12" width="15.7109375" style="198" customWidth="1"/>
    <col min="13" max="13" width="13.5703125" style="198" customWidth="1"/>
    <col min="14" max="14" width="12.140625" style="198" customWidth="1"/>
    <col min="15" max="15" width="14.42578125" style="198" customWidth="1"/>
    <col min="16" max="16384" width="9.140625" style="198"/>
  </cols>
  <sheetData>
    <row r="2" spans="2:15" ht="15.75" thickBot="1" x14ac:dyDescent="0.3"/>
    <row r="3" spans="2:15" ht="30" customHeight="1" x14ac:dyDescent="0.25">
      <c r="B3" s="199" t="s">
        <v>216</v>
      </c>
      <c r="C3" s="200"/>
      <c r="D3" s="200"/>
      <c r="E3" s="200"/>
      <c r="F3" s="200"/>
      <c r="G3" s="201"/>
      <c r="J3" s="199" t="s">
        <v>216</v>
      </c>
      <c r="K3" s="200"/>
      <c r="L3" s="200"/>
      <c r="M3" s="200"/>
      <c r="N3" s="200"/>
      <c r="O3" s="201"/>
    </row>
    <row r="4" spans="2:15" x14ac:dyDescent="0.25">
      <c r="B4" s="202"/>
      <c r="G4" s="203"/>
      <c r="J4" s="202"/>
      <c r="O4" s="203"/>
    </row>
    <row r="5" spans="2:15" x14ac:dyDescent="0.25">
      <c r="B5" s="204" t="s">
        <v>224</v>
      </c>
      <c r="C5" s="300"/>
      <c r="D5" s="300"/>
      <c r="E5" s="300"/>
      <c r="F5" s="300"/>
      <c r="G5" s="301"/>
      <c r="J5" s="204" t="s">
        <v>225</v>
      </c>
      <c r="K5" s="300"/>
      <c r="L5" s="300"/>
      <c r="M5" s="300"/>
      <c r="N5" s="300"/>
      <c r="O5" s="301"/>
    </row>
    <row r="6" spans="2:15" x14ac:dyDescent="0.25">
      <c r="B6" s="202"/>
      <c r="G6" s="203"/>
      <c r="J6" s="202"/>
      <c r="O6" s="203"/>
    </row>
    <row r="7" spans="2:15" ht="75" x14ac:dyDescent="0.25">
      <c r="B7" s="204" t="s">
        <v>217</v>
      </c>
      <c r="C7" s="214" t="s">
        <v>218</v>
      </c>
      <c r="D7" s="215" t="s">
        <v>219</v>
      </c>
      <c r="E7" s="215" t="s">
        <v>220</v>
      </c>
      <c r="F7" s="205" t="s">
        <v>221</v>
      </c>
      <c r="G7" s="205" t="s">
        <v>222</v>
      </c>
      <c r="J7" s="204" t="s">
        <v>217</v>
      </c>
      <c r="K7" s="214" t="s">
        <v>218</v>
      </c>
      <c r="L7" s="215" t="s">
        <v>219</v>
      </c>
      <c r="M7" s="215" t="s">
        <v>220</v>
      </c>
      <c r="N7" s="205" t="s">
        <v>221</v>
      </c>
      <c r="O7" s="205" t="s">
        <v>222</v>
      </c>
    </row>
    <row r="8" spans="2:15" x14ac:dyDescent="0.25">
      <c r="B8" s="202"/>
      <c r="C8" s="216"/>
      <c r="D8" s="217"/>
      <c r="E8" s="217"/>
      <c r="F8" s="206"/>
      <c r="G8" s="206"/>
      <c r="J8" s="202"/>
      <c r="K8" s="216"/>
      <c r="L8" s="217"/>
      <c r="M8" s="217"/>
      <c r="N8" s="206"/>
      <c r="O8" s="206"/>
    </row>
    <row r="9" spans="2:15" x14ac:dyDescent="0.25">
      <c r="B9" s="218" t="s">
        <v>69</v>
      </c>
      <c r="C9" s="189">
        <v>58266.666666666664</v>
      </c>
      <c r="D9" s="217">
        <f>C9/2080*'Rate Assumption '!$C$15</f>
        <v>3361.5384615384614</v>
      </c>
      <c r="E9" s="217">
        <f>C9/2080*'Rate Assumption '!$C$16</f>
        <v>2465.1282051282051</v>
      </c>
      <c r="F9" s="206">
        <f>'Rate Assumption '!$C$18</f>
        <v>4200</v>
      </c>
      <c r="G9" s="208">
        <f>SUM(C9:F9)</f>
        <v>68293.333333333328</v>
      </c>
      <c r="J9" s="218" t="s">
        <v>69</v>
      </c>
      <c r="K9" s="189">
        <v>45900</v>
      </c>
      <c r="L9" s="217">
        <f>K9/2080*'Rate Assumption '!$C$15</f>
        <v>2648.0769230769233</v>
      </c>
      <c r="M9" s="217">
        <f>K9/2080*'Rate Assumption '!$C$16</f>
        <v>1941.9230769230771</v>
      </c>
      <c r="N9" s="206">
        <f>'Rate Assumption '!$C$18</f>
        <v>4200</v>
      </c>
      <c r="O9" s="208">
        <f>SUM(K9:N9)</f>
        <v>54690</v>
      </c>
    </row>
    <row r="10" spans="2:15" x14ac:dyDescent="0.25">
      <c r="B10" s="218" t="s">
        <v>70</v>
      </c>
      <c r="C10" s="189">
        <v>58266.666666666664</v>
      </c>
      <c r="D10" s="217">
        <f>C10/2080*'Rate Assumption '!$C$15</f>
        <v>3361.5384615384614</v>
      </c>
      <c r="E10" s="217">
        <f>C10/2080*'Rate Assumption '!$C$16</f>
        <v>2465.1282051282051</v>
      </c>
      <c r="F10" s="206">
        <f>'Rate Assumption '!$C$18</f>
        <v>4200</v>
      </c>
      <c r="G10" s="208">
        <f t="shared" ref="G10:G20" si="0">SUM(C10:F10)</f>
        <v>68293.333333333328</v>
      </c>
      <c r="J10" s="218" t="s">
        <v>70</v>
      </c>
      <c r="K10" s="189">
        <v>45900</v>
      </c>
      <c r="L10" s="217">
        <f>K10/2080*'Rate Assumption '!$C$15</f>
        <v>2648.0769230769233</v>
      </c>
      <c r="M10" s="217">
        <f>K10/2080*'Rate Assumption '!$C$16</f>
        <v>1941.9230769230771</v>
      </c>
      <c r="N10" s="206">
        <f>'Rate Assumption '!$C$18</f>
        <v>4200</v>
      </c>
      <c r="O10" s="208">
        <f t="shared" ref="O10:O20" si="1">SUM(K10:N10)</f>
        <v>54690</v>
      </c>
    </row>
    <row r="11" spans="2:15" x14ac:dyDescent="0.25">
      <c r="B11" s="220" t="s">
        <v>71</v>
      </c>
      <c r="C11" s="189">
        <v>63366.666666666664</v>
      </c>
      <c r="D11" s="217">
        <f>C11/2080*'Rate Assumption '!$C$15</f>
        <v>3655.7692307692305</v>
      </c>
      <c r="E11" s="217">
        <f>C11/2080*'Rate Assumption '!$C$16</f>
        <v>2680.8974358974356</v>
      </c>
      <c r="F11" s="206">
        <f>'Rate Assumption '!$C$18</f>
        <v>4200</v>
      </c>
      <c r="G11" s="208">
        <f t="shared" si="0"/>
        <v>73903.333333333328</v>
      </c>
      <c r="J11" s="220" t="s">
        <v>71</v>
      </c>
      <c r="K11" s="189">
        <v>46933.333333333336</v>
      </c>
      <c r="L11" s="217">
        <f>K11/2080*'Rate Assumption '!$C$15</f>
        <v>2707.6923076923081</v>
      </c>
      <c r="M11" s="217">
        <f>K11/2080*'Rate Assumption '!$C$16</f>
        <v>1985.6410256410259</v>
      </c>
      <c r="N11" s="206">
        <f>'Rate Assumption '!$C$18</f>
        <v>4200</v>
      </c>
      <c r="O11" s="208">
        <f t="shared" si="1"/>
        <v>55826.666666666664</v>
      </c>
    </row>
    <row r="12" spans="2:15" x14ac:dyDescent="0.25">
      <c r="B12" s="220" t="s">
        <v>72</v>
      </c>
      <c r="C12" s="189">
        <v>63366.666666666664</v>
      </c>
      <c r="D12" s="217">
        <f>C12/2080*'Rate Assumption '!$C$15</f>
        <v>3655.7692307692305</v>
      </c>
      <c r="E12" s="217">
        <f>C12/2080*'Rate Assumption '!$C$16</f>
        <v>2680.8974358974356</v>
      </c>
      <c r="F12" s="206">
        <f>'Rate Assumption '!$C$18</f>
        <v>4200</v>
      </c>
      <c r="G12" s="208">
        <f t="shared" si="0"/>
        <v>73903.333333333328</v>
      </c>
      <c r="J12" s="220" t="s">
        <v>72</v>
      </c>
      <c r="K12" s="189">
        <v>46933.333333333336</v>
      </c>
      <c r="L12" s="217">
        <f>K12/2080*'Rate Assumption '!$C$15</f>
        <v>2707.6923076923081</v>
      </c>
      <c r="M12" s="217">
        <f>K12/2080*'Rate Assumption '!$C$16</f>
        <v>1985.6410256410259</v>
      </c>
      <c r="N12" s="206">
        <f>'Rate Assumption '!$C$18</f>
        <v>4200</v>
      </c>
      <c r="O12" s="208">
        <f t="shared" si="1"/>
        <v>55826.666666666664</v>
      </c>
    </row>
    <row r="13" spans="2:15" x14ac:dyDescent="0.25">
      <c r="B13" s="220" t="s">
        <v>73</v>
      </c>
      <c r="C13" s="189">
        <v>63366.666666666664</v>
      </c>
      <c r="D13" s="217">
        <f>C13/2080*'Rate Assumption '!$C$15</f>
        <v>3655.7692307692305</v>
      </c>
      <c r="E13" s="217">
        <f>C13/2080*'Rate Assumption '!$C$16</f>
        <v>2680.8974358974356</v>
      </c>
      <c r="F13" s="206">
        <f>'Rate Assumption '!$C$18</f>
        <v>4200</v>
      </c>
      <c r="G13" s="208">
        <f t="shared" si="0"/>
        <v>73903.333333333328</v>
      </c>
      <c r="J13" s="220" t="s">
        <v>73</v>
      </c>
      <c r="K13" s="189">
        <v>46933.333333333336</v>
      </c>
      <c r="L13" s="217">
        <f>K13/2080*'Rate Assumption '!$C$15</f>
        <v>2707.6923076923081</v>
      </c>
      <c r="M13" s="217">
        <f>K13/2080*'Rate Assumption '!$C$16</f>
        <v>1985.6410256410259</v>
      </c>
      <c r="N13" s="206">
        <f>'Rate Assumption '!$C$18</f>
        <v>4200</v>
      </c>
      <c r="O13" s="208">
        <f t="shared" si="1"/>
        <v>55826.666666666664</v>
      </c>
    </row>
    <row r="14" spans="2:15" x14ac:dyDescent="0.25">
      <c r="B14" s="220" t="s">
        <v>74</v>
      </c>
      <c r="C14" s="189">
        <v>63366.666666666664</v>
      </c>
      <c r="D14" s="217">
        <f>C14/2080*'Rate Assumption '!$C$15</f>
        <v>3655.7692307692305</v>
      </c>
      <c r="E14" s="217">
        <f>C14/2080*'Rate Assumption '!$C$16</f>
        <v>2680.8974358974356</v>
      </c>
      <c r="F14" s="206">
        <f>'Rate Assumption '!$C$18</f>
        <v>4200</v>
      </c>
      <c r="G14" s="208">
        <f t="shared" si="0"/>
        <v>73903.333333333328</v>
      </c>
      <c r="J14" s="220" t="s">
        <v>74</v>
      </c>
      <c r="K14" s="189">
        <v>46933.333333333336</v>
      </c>
      <c r="L14" s="217">
        <f>K14/2080*'Rate Assumption '!$C$15</f>
        <v>2707.6923076923081</v>
      </c>
      <c r="M14" s="217">
        <f>K14/2080*'Rate Assumption '!$C$16</f>
        <v>1985.6410256410259</v>
      </c>
      <c r="N14" s="206">
        <f>'Rate Assumption '!$C$18</f>
        <v>4200</v>
      </c>
      <c r="O14" s="208">
        <f t="shared" si="1"/>
        <v>55826.666666666664</v>
      </c>
    </row>
    <row r="15" spans="2:15" x14ac:dyDescent="0.25">
      <c r="B15" s="221" t="s">
        <v>75</v>
      </c>
      <c r="C15" s="189">
        <v>60260</v>
      </c>
      <c r="D15" s="217">
        <f>C15/2080*'Rate Assumption '!$C$15</f>
        <v>3476.5384615384614</v>
      </c>
      <c r="E15" s="217">
        <f>C15/2080*'Rate Assumption '!$C$16</f>
        <v>2549.4615384615386</v>
      </c>
      <c r="F15" s="206">
        <f>'Rate Assumption '!$C$18</f>
        <v>4200</v>
      </c>
      <c r="G15" s="208">
        <f t="shared" si="0"/>
        <v>70486</v>
      </c>
      <c r="J15" s="221" t="s">
        <v>75</v>
      </c>
      <c r="K15" s="189">
        <v>46540</v>
      </c>
      <c r="L15" s="217">
        <f>K15/2080*'Rate Assumption '!$C$15</f>
        <v>2685</v>
      </c>
      <c r="M15" s="217">
        <f>K15/2080*'Rate Assumption '!$C$16</f>
        <v>1969</v>
      </c>
      <c r="N15" s="206">
        <f>'Rate Assumption '!$C$18</f>
        <v>4200</v>
      </c>
      <c r="O15" s="208">
        <f t="shared" si="1"/>
        <v>55394</v>
      </c>
    </row>
    <row r="16" spans="2:15" x14ac:dyDescent="0.25">
      <c r="B16" s="221" t="s">
        <v>76</v>
      </c>
      <c r="C16" s="189">
        <v>60260</v>
      </c>
      <c r="D16" s="217">
        <f>C16/2080*'Rate Assumption '!$C$15</f>
        <v>3476.5384615384614</v>
      </c>
      <c r="E16" s="217">
        <f>C16/2080*'Rate Assumption '!$C$16</f>
        <v>2549.4615384615386</v>
      </c>
      <c r="F16" s="206">
        <f>'Rate Assumption '!$C$18</f>
        <v>4200</v>
      </c>
      <c r="G16" s="208">
        <f t="shared" si="0"/>
        <v>70486</v>
      </c>
      <c r="J16" s="221" t="s">
        <v>76</v>
      </c>
      <c r="K16" s="189">
        <v>46540</v>
      </c>
      <c r="L16" s="217">
        <f>K16/2080*'Rate Assumption '!$C$15</f>
        <v>2685</v>
      </c>
      <c r="M16" s="217">
        <f>K16/2080*'Rate Assumption '!$C$16</f>
        <v>1969</v>
      </c>
      <c r="N16" s="206">
        <f>'Rate Assumption '!$C$18</f>
        <v>4200</v>
      </c>
      <c r="O16" s="208">
        <f t="shared" si="1"/>
        <v>55394</v>
      </c>
    </row>
    <row r="17" spans="2:15" x14ac:dyDescent="0.25">
      <c r="B17" s="221" t="s">
        <v>77</v>
      </c>
      <c r="C17" s="189">
        <v>60260</v>
      </c>
      <c r="D17" s="217">
        <f>C17/2080*'Rate Assumption '!$C$15</f>
        <v>3476.5384615384614</v>
      </c>
      <c r="E17" s="217">
        <f>C17/2080*'Rate Assumption '!$C$16</f>
        <v>2549.4615384615386</v>
      </c>
      <c r="F17" s="206">
        <f>'Rate Assumption '!$C$18</f>
        <v>4200</v>
      </c>
      <c r="G17" s="208">
        <f t="shared" si="0"/>
        <v>70486</v>
      </c>
      <c r="J17" s="221" t="s">
        <v>77</v>
      </c>
      <c r="K17" s="189">
        <v>46540</v>
      </c>
      <c r="L17" s="217">
        <f>K17/2080*'Rate Assumption '!$C$15</f>
        <v>2685</v>
      </c>
      <c r="M17" s="217">
        <f>K17/2080*'Rate Assumption '!$C$16</f>
        <v>1969</v>
      </c>
      <c r="N17" s="206">
        <f>'Rate Assumption '!$C$18</f>
        <v>4200</v>
      </c>
      <c r="O17" s="208">
        <f t="shared" si="1"/>
        <v>55394</v>
      </c>
    </row>
    <row r="18" spans="2:15" x14ac:dyDescent="0.25">
      <c r="B18" s="221" t="s">
        <v>78</v>
      </c>
      <c r="C18" s="189">
        <v>60260</v>
      </c>
      <c r="D18" s="217">
        <f>C18/2080*'Rate Assumption '!$C$15</f>
        <v>3476.5384615384614</v>
      </c>
      <c r="E18" s="217">
        <f>C18/2080*'Rate Assumption '!$C$16</f>
        <v>2549.4615384615386</v>
      </c>
      <c r="F18" s="206">
        <f>'Rate Assumption '!$C$18</f>
        <v>4200</v>
      </c>
      <c r="G18" s="208">
        <f t="shared" si="0"/>
        <v>70486</v>
      </c>
      <c r="J18" s="221" t="s">
        <v>78</v>
      </c>
      <c r="K18" s="189">
        <v>46540</v>
      </c>
      <c r="L18" s="217">
        <f>K18/2080*'Rate Assumption '!$C$15</f>
        <v>2685</v>
      </c>
      <c r="M18" s="217">
        <f>K18/2080*'Rate Assumption '!$C$16</f>
        <v>1969</v>
      </c>
      <c r="N18" s="206">
        <f>'Rate Assumption '!$C$18</f>
        <v>4200</v>
      </c>
      <c r="O18" s="208">
        <f t="shared" si="1"/>
        <v>55394</v>
      </c>
    </row>
    <row r="19" spans="2:15" x14ac:dyDescent="0.25">
      <c r="B19" s="221" t="s">
        <v>79</v>
      </c>
      <c r="C19" s="189">
        <v>60260</v>
      </c>
      <c r="D19" s="217">
        <f>C19/2080*'Rate Assumption '!$C$15</f>
        <v>3476.5384615384614</v>
      </c>
      <c r="E19" s="217">
        <f>C19/2080*'Rate Assumption '!$C$16</f>
        <v>2549.4615384615386</v>
      </c>
      <c r="F19" s="206">
        <f>'Rate Assumption '!$C$18</f>
        <v>4200</v>
      </c>
      <c r="G19" s="208">
        <f t="shared" si="0"/>
        <v>70486</v>
      </c>
      <c r="J19" s="221" t="s">
        <v>79</v>
      </c>
      <c r="K19" s="189">
        <v>46540</v>
      </c>
      <c r="L19" s="217">
        <f>K19/2080*'Rate Assumption '!$C$15</f>
        <v>2685</v>
      </c>
      <c r="M19" s="217">
        <f>K19/2080*'Rate Assumption '!$C$16</f>
        <v>1969</v>
      </c>
      <c r="N19" s="206">
        <f>'Rate Assumption '!$C$18</f>
        <v>4200</v>
      </c>
      <c r="O19" s="208">
        <f t="shared" si="1"/>
        <v>55394</v>
      </c>
    </row>
    <row r="20" spans="2:15" x14ac:dyDescent="0.25">
      <c r="B20" s="222" t="s">
        <v>80</v>
      </c>
      <c r="C20" s="189">
        <v>68300</v>
      </c>
      <c r="D20" s="217">
        <f>C20/2080*'Rate Assumption '!$C$15</f>
        <v>3940.3846153846152</v>
      </c>
      <c r="E20" s="217">
        <f>C20/2080*'Rate Assumption '!$C$16</f>
        <v>2889.6153846153843</v>
      </c>
      <c r="F20" s="206">
        <f>'Rate Assumption '!$C$18</f>
        <v>4200</v>
      </c>
      <c r="G20" s="208">
        <f t="shared" si="0"/>
        <v>79330</v>
      </c>
      <c r="J20" s="222" t="s">
        <v>80</v>
      </c>
      <c r="K20" s="189">
        <v>53000</v>
      </c>
      <c r="L20" s="217">
        <f>K20/2080*'Rate Assumption '!$C$15</f>
        <v>3057.6923076923076</v>
      </c>
      <c r="M20" s="217">
        <f>K20/2080*'Rate Assumption '!$C$16</f>
        <v>2242.3076923076924</v>
      </c>
      <c r="N20" s="206">
        <f>'Rate Assumption '!$C$18</f>
        <v>4200</v>
      </c>
      <c r="O20" s="208">
        <f t="shared" si="1"/>
        <v>62500</v>
      </c>
    </row>
    <row r="21" spans="2:15" x14ac:dyDescent="0.25">
      <c r="B21" s="207"/>
      <c r="C21" s="219"/>
      <c r="D21" s="219"/>
      <c r="E21" s="219"/>
      <c r="F21"/>
      <c r="G21" s="208"/>
      <c r="J21" s="207"/>
      <c r="K21" s="219"/>
      <c r="L21" s="219"/>
      <c r="M21" s="219"/>
      <c r="N21"/>
      <c r="O21" s="208"/>
    </row>
    <row r="22" spans="2:15" x14ac:dyDescent="0.25">
      <c r="B22" s="202"/>
      <c r="G22" s="203"/>
      <c r="J22" s="202"/>
      <c r="O22" s="203"/>
    </row>
    <row r="23" spans="2:15" x14ac:dyDescent="0.25">
      <c r="B23" s="209"/>
      <c r="C23" s="223"/>
      <c r="D23" s="223"/>
      <c r="E23" s="223"/>
      <c r="F23" s="223"/>
      <c r="G23" s="210"/>
      <c r="J23" s="209"/>
      <c r="K23" s="223"/>
      <c r="L23" s="223"/>
      <c r="M23" s="223"/>
      <c r="N23" s="223"/>
      <c r="O23" s="210"/>
    </row>
    <row r="24" spans="2:15" ht="15.75" thickBot="1" x14ac:dyDescent="0.3">
      <c r="B24" s="211"/>
      <c r="C24" s="212"/>
      <c r="D24" s="212"/>
      <c r="E24" s="212"/>
      <c r="F24" s="212"/>
      <c r="G24" s="213"/>
      <c r="J24" s="211"/>
      <c r="K24" s="212"/>
      <c r="L24" s="212"/>
      <c r="M24" s="212"/>
      <c r="N24" s="212"/>
      <c r="O24" s="213"/>
    </row>
    <row r="33" spans="4:4" x14ac:dyDescent="0.25">
      <c r="D33" s="189"/>
    </row>
    <row r="34" spans="4:4" x14ac:dyDescent="0.25">
      <c r="D34" s="189"/>
    </row>
    <row r="35" spans="4:4" x14ac:dyDescent="0.25">
      <c r="D35" s="189"/>
    </row>
    <row r="36" spans="4:4" x14ac:dyDescent="0.25">
      <c r="D36" s="189"/>
    </row>
    <row r="37" spans="4:4" x14ac:dyDescent="0.25">
      <c r="D37" s="189"/>
    </row>
    <row r="38" spans="4:4" x14ac:dyDescent="0.25">
      <c r="D38" s="189"/>
    </row>
    <row r="39" spans="4:4" x14ac:dyDescent="0.25">
      <c r="D39" s="189"/>
    </row>
    <row r="40" spans="4:4" x14ac:dyDescent="0.25">
      <c r="D40" s="189"/>
    </row>
    <row r="41" spans="4:4" x14ac:dyDescent="0.25">
      <c r="D41" s="189"/>
    </row>
    <row r="42" spans="4:4" x14ac:dyDescent="0.25">
      <c r="D42" s="189"/>
    </row>
    <row r="43" spans="4:4" x14ac:dyDescent="0.25">
      <c r="D43" s="189"/>
    </row>
    <row r="44" spans="4:4" x14ac:dyDescent="0.25">
      <c r="D44" s="1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43AC-C3B1-486C-ACBB-C92AEA652065}">
  <sheetPr>
    <tabColor theme="8" tint="0.79998168889431442"/>
  </sheetPr>
  <dimension ref="A1:Q24"/>
  <sheetViews>
    <sheetView workbookViewId="0">
      <selection activeCell="D17" sqref="D17"/>
    </sheetView>
  </sheetViews>
  <sheetFormatPr defaultRowHeight="12.75" x14ac:dyDescent="0.2"/>
  <cols>
    <col min="1" max="2" width="9.140625" style="225"/>
    <col min="3" max="3" width="37.85546875" style="225" customWidth="1"/>
    <col min="4" max="4" width="20" style="225" customWidth="1"/>
    <col min="5" max="5" width="12.85546875" style="225" customWidth="1"/>
    <col min="6" max="6" width="16.7109375" style="225" customWidth="1"/>
    <col min="7" max="17" width="10.5703125" style="225" bestFit="1" customWidth="1"/>
    <col min="18" max="16384" width="9.140625" style="225"/>
  </cols>
  <sheetData>
    <row r="1" spans="1:17" x14ac:dyDescent="0.2">
      <c r="C1" s="226" t="s">
        <v>227</v>
      </c>
    </row>
    <row r="2" spans="1:17" x14ac:dyDescent="0.2">
      <c r="C2" s="225" t="s">
        <v>228</v>
      </c>
    </row>
    <row r="3" spans="1:17" x14ac:dyDescent="0.2">
      <c r="C3" s="225" t="s">
        <v>229</v>
      </c>
    </row>
    <row r="4" spans="1:17" x14ac:dyDescent="0.2">
      <c r="C4" s="225" t="s">
        <v>230</v>
      </c>
    </row>
    <row r="5" spans="1:17" x14ac:dyDescent="0.2">
      <c r="C5" s="225" t="s">
        <v>231</v>
      </c>
    </row>
    <row r="6" spans="1:17" ht="13.5" thickBot="1" x14ac:dyDescent="0.25"/>
    <row r="7" spans="1:17" x14ac:dyDescent="0.2">
      <c r="C7" s="227" t="s">
        <v>232</v>
      </c>
      <c r="D7" s="228" t="s">
        <v>113</v>
      </c>
    </row>
    <row r="8" spans="1:17" x14ac:dyDescent="0.2">
      <c r="C8" s="229" t="s">
        <v>233</v>
      </c>
      <c r="D8" s="230">
        <v>18</v>
      </c>
    </row>
    <row r="9" spans="1:17" x14ac:dyDescent="0.2">
      <c r="C9" s="229" t="s">
        <v>234</v>
      </c>
      <c r="D9" s="230">
        <f>HLOOKUP(D7,D16:Q17,2,FALSE)</f>
        <v>211</v>
      </c>
    </row>
    <row r="10" spans="1:17" x14ac:dyDescent="0.2">
      <c r="C10" s="231" t="s">
        <v>235</v>
      </c>
      <c r="D10" s="232">
        <v>100</v>
      </c>
    </row>
    <row r="11" spans="1:17" x14ac:dyDescent="0.2">
      <c r="C11" s="229"/>
      <c r="D11" s="233"/>
    </row>
    <row r="12" spans="1:17" ht="13.5" thickBot="1" x14ac:dyDescent="0.25">
      <c r="C12" s="234" t="s">
        <v>236</v>
      </c>
      <c r="D12" s="331">
        <f>IFERROR(HLOOKUP(D7,D16:Q24,9,FALSE),0)</f>
        <v>16125.833333333334</v>
      </c>
    </row>
    <row r="13" spans="1:17" x14ac:dyDescent="0.2">
      <c r="C13" s="248"/>
      <c r="D13" s="248"/>
      <c r="E13" s="248"/>
      <c r="F13" s="248"/>
    </row>
    <row r="14" spans="1:17" ht="18.75" thickBot="1" x14ac:dyDescent="0.3">
      <c r="D14" s="282" t="s">
        <v>260</v>
      </c>
    </row>
    <row r="15" spans="1:17" ht="24.75" customHeight="1" x14ac:dyDescent="0.25">
      <c r="A15" s="235"/>
      <c r="C15" s="236"/>
      <c r="D15" s="283" t="s">
        <v>261</v>
      </c>
      <c r="E15" s="273"/>
      <c r="F15" s="273"/>
      <c r="G15" s="273"/>
      <c r="H15" s="273"/>
      <c r="I15" s="273"/>
      <c r="J15" s="273"/>
      <c r="K15" s="273"/>
      <c r="L15" s="273"/>
      <c r="M15" s="273"/>
      <c r="N15" s="273"/>
      <c r="O15" s="273"/>
      <c r="P15" s="273"/>
      <c r="Q15" s="274"/>
    </row>
    <row r="16" spans="1:17" x14ac:dyDescent="0.2">
      <c r="A16" s="235"/>
      <c r="C16" s="284"/>
      <c r="D16" s="275" t="s">
        <v>69</v>
      </c>
      <c r="E16" s="276" t="s">
        <v>70</v>
      </c>
      <c r="F16" s="276" t="s">
        <v>71</v>
      </c>
      <c r="G16" s="276" t="s">
        <v>72</v>
      </c>
      <c r="H16" s="275" t="s">
        <v>73</v>
      </c>
      <c r="I16" s="276" t="s">
        <v>113</v>
      </c>
      <c r="J16" s="276" t="s">
        <v>75</v>
      </c>
      <c r="K16" s="276" t="s">
        <v>76</v>
      </c>
      <c r="L16" s="275" t="s">
        <v>167</v>
      </c>
      <c r="M16" s="276" t="s">
        <v>240</v>
      </c>
      <c r="N16" s="276" t="s">
        <v>78</v>
      </c>
      <c r="O16" s="276" t="s">
        <v>79</v>
      </c>
      <c r="P16" s="276" t="s">
        <v>111</v>
      </c>
      <c r="Q16" s="358" t="s">
        <v>112</v>
      </c>
    </row>
    <row r="17" spans="1:17" x14ac:dyDescent="0.2">
      <c r="C17" s="284"/>
      <c r="D17" s="355">
        <f>'Maximum FTE allowable'!G34</f>
        <v>438</v>
      </c>
      <c r="E17" s="355">
        <f>'Maximum FTE allowable'!H34</f>
        <v>178</v>
      </c>
      <c r="F17" s="355">
        <f>'Maximum FTE allowable'!I34</f>
        <v>408</v>
      </c>
      <c r="G17" s="355">
        <f>'Maximum FTE allowable'!J34</f>
        <v>349</v>
      </c>
      <c r="H17" s="355">
        <f>'Maximum FTE allowable'!K34</f>
        <v>26</v>
      </c>
      <c r="I17" s="355">
        <f>'Maximum FTE allowable'!L34</f>
        <v>211</v>
      </c>
      <c r="J17" s="355">
        <f>'Maximum FTE allowable'!M34</f>
        <v>443</v>
      </c>
      <c r="K17" s="355">
        <f>'Maximum FTE allowable'!N34</f>
        <v>151</v>
      </c>
      <c r="L17" s="355">
        <f>'Maximum FTE allowable'!O34</f>
        <v>263</v>
      </c>
      <c r="M17" s="355">
        <f>'Maximum FTE allowable'!P34</f>
        <v>245</v>
      </c>
      <c r="N17" s="355">
        <f>'Maximum FTE allowable'!Q34</f>
        <v>256</v>
      </c>
      <c r="O17" s="355">
        <f>'Maximum FTE allowable'!R34</f>
        <v>191</v>
      </c>
      <c r="P17" s="355">
        <f>'Maximum FTE allowable'!S34</f>
        <v>201</v>
      </c>
      <c r="Q17" s="277">
        <f>'Maximum FTE allowable'!T34</f>
        <v>284</v>
      </c>
    </row>
    <row r="18" spans="1:17" x14ac:dyDescent="0.2">
      <c r="C18" s="285" t="s">
        <v>28</v>
      </c>
      <c r="D18" s="356">
        <v>103.38888888888889</v>
      </c>
      <c r="E18" s="356">
        <v>103.38888888888889</v>
      </c>
      <c r="F18" s="356">
        <v>112.44444444444444</v>
      </c>
      <c r="G18" s="356">
        <v>112.44444444444444</v>
      </c>
      <c r="H18" s="356">
        <v>112.44444444444444</v>
      </c>
      <c r="I18" s="356">
        <v>112.44444444444444</v>
      </c>
      <c r="J18" s="356">
        <v>106.94444444444444</v>
      </c>
      <c r="K18" s="356">
        <v>106.94444444444444</v>
      </c>
      <c r="L18" s="356">
        <v>106.94444444444444</v>
      </c>
      <c r="M18" s="356">
        <v>106.94444444444444</v>
      </c>
      <c r="N18" s="356">
        <v>106.94444444444444</v>
      </c>
      <c r="O18" s="356">
        <f>N18</f>
        <v>106.94444444444444</v>
      </c>
      <c r="P18" s="356">
        <v>121.22222222222223</v>
      </c>
      <c r="Q18" s="278">
        <f>P18</f>
        <v>121.22222222222223</v>
      </c>
    </row>
    <row r="19" spans="1:17" x14ac:dyDescent="0.2">
      <c r="A19" s="235"/>
      <c r="C19" s="285" t="s">
        <v>30</v>
      </c>
      <c r="D19" s="356">
        <v>19.833333333333332</v>
      </c>
      <c r="E19" s="356">
        <v>19.833333333333332</v>
      </c>
      <c r="F19" s="356">
        <v>21.555555555555557</v>
      </c>
      <c r="G19" s="356">
        <v>21.555555555555557</v>
      </c>
      <c r="H19" s="356">
        <v>21.555555555555557</v>
      </c>
      <c r="I19" s="356">
        <v>21.555555555555557</v>
      </c>
      <c r="J19" s="356">
        <v>20.5</v>
      </c>
      <c r="K19" s="356">
        <v>20.5</v>
      </c>
      <c r="L19" s="356">
        <v>20.5</v>
      </c>
      <c r="M19" s="356">
        <v>20.5</v>
      </c>
      <c r="N19" s="356">
        <v>20.5</v>
      </c>
      <c r="O19" s="356">
        <f>N19</f>
        <v>20.5</v>
      </c>
      <c r="P19" s="356">
        <v>23.222222222222221</v>
      </c>
      <c r="Q19" s="278">
        <f>P19</f>
        <v>23.222222222222221</v>
      </c>
    </row>
    <row r="20" spans="1:17" x14ac:dyDescent="0.2">
      <c r="A20" s="235"/>
      <c r="C20" s="285" t="s">
        <v>36</v>
      </c>
      <c r="D20" s="356">
        <v>10.333333333333334</v>
      </c>
      <c r="E20" s="356">
        <v>10.333333333333334</v>
      </c>
      <c r="F20" s="356">
        <v>11.277777777777779</v>
      </c>
      <c r="G20" s="356">
        <v>11.277777777777779</v>
      </c>
      <c r="H20" s="356">
        <v>11.277777777777779</v>
      </c>
      <c r="I20" s="356">
        <v>11.277777777777779</v>
      </c>
      <c r="J20" s="356">
        <v>10.722222222222221</v>
      </c>
      <c r="K20" s="356">
        <v>10.722222222222221</v>
      </c>
      <c r="L20" s="356">
        <v>10.722222222222221</v>
      </c>
      <c r="M20" s="356">
        <v>10.722222222222221</v>
      </c>
      <c r="N20" s="356">
        <v>10.722222222222221</v>
      </c>
      <c r="O20" s="356">
        <f>N20</f>
        <v>10.722222222222221</v>
      </c>
      <c r="P20" s="356">
        <v>12.166666666666666</v>
      </c>
      <c r="Q20" s="278">
        <f>P20</f>
        <v>12.166666666666666</v>
      </c>
    </row>
    <row r="21" spans="1:17" x14ac:dyDescent="0.2">
      <c r="C21" s="284"/>
      <c r="D21" s="357" cm="1">
        <f t="array" ref="D21:D23">(D$17-$D$10)*D18:D20</f>
        <v>34945.444444444445</v>
      </c>
      <c r="E21" s="357" cm="1">
        <f t="array" ref="E21:E23">(E$17-$D$10)*E18:E20</f>
        <v>8064.333333333333</v>
      </c>
      <c r="F21" s="357" cm="1">
        <f t="array" ref="F21:F23">(F$17-$D$10)*F18:F20</f>
        <v>34632.888888888891</v>
      </c>
      <c r="G21" s="357" cm="1">
        <f t="array" ref="G21:G23">(G$17-$D$10)*G18:G20</f>
        <v>27998.666666666668</v>
      </c>
      <c r="H21" s="357" cm="1">
        <f t="array" ref="H21:H23">(H$17-$D$10)*H18:H20</f>
        <v>-8320.8888888888887</v>
      </c>
      <c r="I21" s="357" cm="1">
        <f t="array" ref="I21:I23">(I$17-$D$10)*I18:I20</f>
        <v>12481.333333333334</v>
      </c>
      <c r="J21" s="357" cm="1">
        <f t="array" ref="J21:J23">(J$17-$D$10)*J18:J20</f>
        <v>36681.944444444445</v>
      </c>
      <c r="K21" s="357" cm="1">
        <f t="array" ref="K21:K23">(K$17-$D$10)*K18:K20</f>
        <v>5454.166666666667</v>
      </c>
      <c r="L21" s="357" cm="1">
        <f t="array" ref="L21:L23">(L$17-$D$10)*L18:L20</f>
        <v>17431.944444444445</v>
      </c>
      <c r="M21" s="357" cm="1">
        <f t="array" ref="M21:M23">(M$17-$D$10)*M18:M20</f>
        <v>15506.944444444443</v>
      </c>
      <c r="N21" s="357" cm="1">
        <f t="array" ref="N21:N23">(N$17-$D$10)*N18:N20</f>
        <v>16683.333333333332</v>
      </c>
      <c r="O21" s="357" cm="1">
        <f t="array" ref="O21:O23">(O$17-$D$10)*O18:O20</f>
        <v>9731.9444444444434</v>
      </c>
      <c r="P21" s="357" cm="1">
        <f t="array" ref="P21:P23">(P$17-$D$10)*P18:P20</f>
        <v>12243.444444444445</v>
      </c>
      <c r="Q21" s="279" cm="1">
        <f t="array" ref="Q21:Q23">(Q$17-$D$10)*Q18:Q20</f>
        <v>22304.888888888891</v>
      </c>
    </row>
    <row r="22" spans="1:17" x14ac:dyDescent="0.2">
      <c r="C22" s="284"/>
      <c r="D22" s="356">
        <v>6703.6666666666661</v>
      </c>
      <c r="E22" s="356">
        <v>1547</v>
      </c>
      <c r="F22" s="356">
        <v>6639.1111111111113</v>
      </c>
      <c r="G22" s="356">
        <v>5367.3333333333339</v>
      </c>
      <c r="H22" s="356">
        <v>-1595.1111111111113</v>
      </c>
      <c r="I22" s="356">
        <v>2392.666666666667</v>
      </c>
      <c r="J22" s="356">
        <v>7031.5</v>
      </c>
      <c r="K22" s="356">
        <v>1045.5</v>
      </c>
      <c r="L22" s="356">
        <v>3341.5</v>
      </c>
      <c r="M22" s="356">
        <v>2972.5</v>
      </c>
      <c r="N22" s="356">
        <v>3198</v>
      </c>
      <c r="O22" s="356">
        <v>1865.5</v>
      </c>
      <c r="P22" s="356">
        <v>2345.4444444444443</v>
      </c>
      <c r="Q22" s="278">
        <v>4272.8888888888887</v>
      </c>
    </row>
    <row r="23" spans="1:17" x14ac:dyDescent="0.2">
      <c r="C23" s="284"/>
      <c r="D23" s="356">
        <v>3492.666666666667</v>
      </c>
      <c r="E23" s="356">
        <v>806</v>
      </c>
      <c r="F23" s="356">
        <v>3473.5555555555557</v>
      </c>
      <c r="G23" s="356">
        <v>2808.166666666667</v>
      </c>
      <c r="H23" s="356">
        <v>-834.55555555555566</v>
      </c>
      <c r="I23" s="356">
        <v>1251.8333333333335</v>
      </c>
      <c r="J23" s="356">
        <v>3677.7222222222222</v>
      </c>
      <c r="K23" s="356">
        <v>546.83333333333326</v>
      </c>
      <c r="L23" s="356">
        <v>1747.7222222222222</v>
      </c>
      <c r="M23" s="356">
        <v>1554.7222222222222</v>
      </c>
      <c r="N23" s="356">
        <v>1672.6666666666665</v>
      </c>
      <c r="O23" s="356">
        <v>975.72222222222217</v>
      </c>
      <c r="P23" s="356">
        <v>1228.8333333333333</v>
      </c>
      <c r="Q23" s="278">
        <v>2238.6666666666665</v>
      </c>
    </row>
    <row r="24" spans="1:17" ht="13.5" thickBot="1" x14ac:dyDescent="0.25">
      <c r="C24" s="286"/>
      <c r="D24" s="280">
        <f>SUM(_xlfn.ANCHORARRAY(D21))</f>
        <v>45141.777777777774</v>
      </c>
      <c r="E24" s="280">
        <f t="shared" ref="E24:Q24" si="0">SUM(_xlfn.ANCHORARRAY(E21))</f>
        <v>10417.333333333332</v>
      </c>
      <c r="F24" s="280">
        <f t="shared" si="0"/>
        <v>44745.555555555555</v>
      </c>
      <c r="G24" s="280">
        <f t="shared" si="0"/>
        <v>36174.166666666664</v>
      </c>
      <c r="H24" s="280">
        <f t="shared" si="0"/>
        <v>-10750.555555555555</v>
      </c>
      <c r="I24" s="280">
        <f t="shared" si="0"/>
        <v>16125.833333333334</v>
      </c>
      <c r="J24" s="280">
        <f t="shared" si="0"/>
        <v>47391.166666666664</v>
      </c>
      <c r="K24" s="280">
        <f t="shared" si="0"/>
        <v>7046.5</v>
      </c>
      <c r="L24" s="280">
        <f t="shared" si="0"/>
        <v>22521.166666666668</v>
      </c>
      <c r="M24" s="280">
        <f t="shared" si="0"/>
        <v>20034.166666666668</v>
      </c>
      <c r="N24" s="280">
        <f t="shared" si="0"/>
        <v>21554</v>
      </c>
      <c r="O24" s="280">
        <f t="shared" si="0"/>
        <v>12573.166666666666</v>
      </c>
      <c r="P24" s="280">
        <f t="shared" si="0"/>
        <v>15817.722222222224</v>
      </c>
      <c r="Q24" s="281">
        <f t="shared" si="0"/>
        <v>28816.444444444449</v>
      </c>
    </row>
  </sheetData>
  <dataValidations count="1">
    <dataValidation type="list" allowBlank="1" showInputMessage="1" showErrorMessage="1" sqref="D7" xr:uid="{BB80BB15-5EB5-4531-9929-0D17DAA84E92}">
      <formula1>$D$16:$Q$16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B270-F54A-4DD4-ACA2-986CE8073F62}">
  <sheetPr>
    <tabColor theme="8" tint="0.79998168889431442"/>
  </sheetPr>
  <dimension ref="A1:R72"/>
  <sheetViews>
    <sheetView topLeftCell="D36" zoomScale="115" zoomScaleNormal="115" workbookViewId="0">
      <selection activeCell="O45" sqref="O45"/>
    </sheetView>
  </sheetViews>
  <sheetFormatPr defaultRowHeight="12.75" x14ac:dyDescent="0.2"/>
  <cols>
    <col min="1" max="1" width="18.140625" customWidth="1"/>
    <col min="4" max="4" width="33.28515625" customWidth="1"/>
    <col min="5" max="5" width="13.42578125" customWidth="1"/>
    <col min="6" max="6" width="11.7109375" customWidth="1"/>
    <col min="7" max="7" width="13" customWidth="1"/>
    <col min="8" max="8" width="13.28515625" customWidth="1"/>
    <col min="9" max="9" width="19.85546875" customWidth="1"/>
    <col min="10" max="10" width="15.5703125" customWidth="1"/>
    <col min="11" max="11" width="17.7109375" customWidth="1"/>
    <col min="12" max="14" width="12" bestFit="1" customWidth="1"/>
    <col min="15" max="15" width="12.140625" customWidth="1"/>
    <col min="16" max="16" width="11.85546875" customWidth="1"/>
    <col min="17" max="17" width="13" customWidth="1"/>
    <col min="18" max="18" width="15" customWidth="1"/>
  </cols>
  <sheetData>
    <row r="1" spans="1:12" x14ac:dyDescent="0.2">
      <c r="A1" s="43" t="s">
        <v>181</v>
      </c>
    </row>
    <row r="2" spans="1:12" x14ac:dyDescent="0.2">
      <c r="E2" s="43"/>
      <c r="F2" s="43"/>
      <c r="G2" s="43"/>
      <c r="H2" s="43"/>
    </row>
    <row r="5" spans="1:12" x14ac:dyDescent="0.2">
      <c r="E5" s="17" t="s">
        <v>262</v>
      </c>
    </row>
    <row r="6" spans="1:12" ht="13.5" thickBot="1" x14ac:dyDescent="0.25">
      <c r="E6" t="s">
        <v>264</v>
      </c>
      <c r="L6" s="17"/>
    </row>
    <row r="7" spans="1:12" ht="29.25" customHeight="1" x14ac:dyDescent="0.2">
      <c r="D7" s="241" t="s">
        <v>263</v>
      </c>
      <c r="E7" s="242"/>
      <c r="F7" s="242"/>
      <c r="G7" s="243"/>
      <c r="H7" s="164"/>
    </row>
    <row r="8" spans="1:12" x14ac:dyDescent="0.2">
      <c r="D8" s="93"/>
      <c r="E8" t="s">
        <v>175</v>
      </c>
      <c r="F8" t="s">
        <v>174</v>
      </c>
      <c r="G8" s="94" t="s">
        <v>176</v>
      </c>
    </row>
    <row r="9" spans="1:12" x14ac:dyDescent="0.2">
      <c r="D9" s="93" t="s">
        <v>18</v>
      </c>
      <c r="E9" s="165">
        <v>0</v>
      </c>
      <c r="F9" s="165">
        <v>0</v>
      </c>
      <c r="G9" s="166">
        <f>$J$10</f>
        <v>0.25</v>
      </c>
      <c r="I9" s="43" t="s">
        <v>188</v>
      </c>
      <c r="J9" s="17"/>
    </row>
    <row r="10" spans="1:12" ht="30" customHeight="1" x14ac:dyDescent="0.2">
      <c r="D10" s="93" t="s">
        <v>15</v>
      </c>
      <c r="E10" s="165">
        <v>0</v>
      </c>
      <c r="F10" s="165">
        <v>0</v>
      </c>
      <c r="G10" s="166">
        <f>$J$10</f>
        <v>0.25</v>
      </c>
      <c r="I10" s="244" t="s">
        <v>200</v>
      </c>
      <c r="J10" s="125">
        <v>0.25</v>
      </c>
    </row>
    <row r="11" spans="1:12" ht="12.75" customHeight="1" x14ac:dyDescent="0.2">
      <c r="D11" s="93" t="s">
        <v>28</v>
      </c>
      <c r="E11" s="165">
        <v>0</v>
      </c>
      <c r="F11" s="165">
        <f>J10</f>
        <v>0.25</v>
      </c>
      <c r="G11" s="166">
        <f>F11*$J$11+F11</f>
        <v>0.33250000000000002</v>
      </c>
      <c r="H11" s="110"/>
      <c r="I11" s="244" t="s">
        <v>189</v>
      </c>
      <c r="J11" s="125">
        <v>0.33</v>
      </c>
    </row>
    <row r="12" spans="1:12" x14ac:dyDescent="0.2">
      <c r="D12" s="93" t="s">
        <v>30</v>
      </c>
      <c r="E12" s="165">
        <v>1</v>
      </c>
      <c r="F12" s="165">
        <v>1</v>
      </c>
      <c r="G12" s="166">
        <v>1</v>
      </c>
    </row>
    <row r="13" spans="1:12" x14ac:dyDescent="0.2">
      <c r="D13" s="93" t="s">
        <v>32</v>
      </c>
      <c r="E13" s="165">
        <v>0</v>
      </c>
      <c r="F13" s="165">
        <v>1</v>
      </c>
      <c r="G13" s="166">
        <v>1</v>
      </c>
    </row>
    <row r="14" spans="1:12" x14ac:dyDescent="0.2">
      <c r="D14" s="93" t="s">
        <v>34</v>
      </c>
      <c r="E14" s="224">
        <v>1</v>
      </c>
      <c r="F14" s="165">
        <v>1</v>
      </c>
      <c r="G14" s="166">
        <v>1</v>
      </c>
    </row>
    <row r="15" spans="1:12" x14ac:dyDescent="0.2">
      <c r="D15" s="93" t="s">
        <v>36</v>
      </c>
      <c r="E15" s="165">
        <v>1</v>
      </c>
      <c r="F15" s="165">
        <v>1</v>
      </c>
      <c r="G15" s="166">
        <v>1</v>
      </c>
    </row>
    <row r="16" spans="1:12" x14ac:dyDescent="0.2">
      <c r="D16" s="93" t="s">
        <v>38</v>
      </c>
      <c r="E16" s="165">
        <v>0</v>
      </c>
      <c r="F16" s="165">
        <v>0</v>
      </c>
      <c r="G16" s="167">
        <f>J10</f>
        <v>0.25</v>
      </c>
    </row>
    <row r="17" spans="3:18" x14ac:dyDescent="0.2">
      <c r="D17" s="98"/>
      <c r="E17" s="78"/>
      <c r="F17" s="78"/>
      <c r="G17" s="168"/>
    </row>
    <row r="18" spans="3:18" ht="13.5" thickBot="1" x14ac:dyDescent="0.25">
      <c r="D18" s="159"/>
      <c r="E18" s="135"/>
      <c r="F18" s="135"/>
      <c r="G18" s="169"/>
    </row>
    <row r="19" spans="3:18" x14ac:dyDescent="0.2">
      <c r="D19" s="17"/>
      <c r="E19" s="78"/>
      <c r="F19" s="78"/>
      <c r="G19" s="148"/>
    </row>
    <row r="20" spans="3:18" ht="15.75" x14ac:dyDescent="0.25">
      <c r="D20" s="245" t="s">
        <v>312</v>
      </c>
      <c r="E20" s="247"/>
      <c r="F20" s="247"/>
      <c r="G20" s="247"/>
      <c r="H20" s="247"/>
      <c r="I20" s="247"/>
      <c r="J20" s="247"/>
      <c r="K20" s="246"/>
      <c r="L20" s="348" t="s">
        <v>191</v>
      </c>
      <c r="M20" s="349"/>
      <c r="N20" s="349"/>
      <c r="O20" s="350"/>
      <c r="P20" s="373" t="s">
        <v>190</v>
      </c>
      <c r="Q20" s="374"/>
    </row>
    <row r="21" spans="3:18" ht="15" x14ac:dyDescent="0.25">
      <c r="D21" s="149" t="s">
        <v>75</v>
      </c>
      <c r="E21" s="95" t="s">
        <v>70</v>
      </c>
      <c r="F21" s="126" t="s">
        <v>80</v>
      </c>
      <c r="G21" s="134" t="s">
        <v>80</v>
      </c>
      <c r="H21" s="128" t="s">
        <v>69</v>
      </c>
      <c r="I21" s="97" t="s">
        <v>78</v>
      </c>
      <c r="J21" s="97" t="s">
        <v>77</v>
      </c>
      <c r="K21" s="150" t="s">
        <v>77</v>
      </c>
      <c r="L21" s="155" t="s">
        <v>71</v>
      </c>
      <c r="M21" s="96" t="s">
        <v>72</v>
      </c>
      <c r="N21" s="97" t="s">
        <v>79</v>
      </c>
      <c r="O21" s="156" t="s">
        <v>74</v>
      </c>
      <c r="P21" s="149" t="s">
        <v>76</v>
      </c>
      <c r="Q21" s="157" t="s">
        <v>73</v>
      </c>
    </row>
    <row r="22" spans="3:18" x14ac:dyDescent="0.2">
      <c r="D22" s="151">
        <v>21583.751041666699</v>
      </c>
      <c r="E22" s="78">
        <v>14191.453611111107</v>
      </c>
      <c r="F22" s="78">
        <v>16635.176458333332</v>
      </c>
      <c r="G22" s="78">
        <v>15656.636666666665</v>
      </c>
      <c r="H22" s="78">
        <v>30052.489999999994</v>
      </c>
      <c r="I22" s="78">
        <v>16403.650791666671</v>
      </c>
      <c r="J22" s="78">
        <v>15540.300750000002</v>
      </c>
      <c r="K22" s="152">
        <v>16403.650791666671</v>
      </c>
      <c r="L22" s="151">
        <f>G42</f>
        <v>19065.049791666665</v>
      </c>
      <c r="M22" s="78">
        <f>H42</f>
        <v>15433.611736111106</v>
      </c>
      <c r="N22" s="78">
        <f>P42</f>
        <v>8633.5004166666677</v>
      </c>
      <c r="O22" s="152">
        <f>J42</f>
        <v>9986.4546527777766</v>
      </c>
      <c r="P22" s="151">
        <f>L42</f>
        <v>6043.4502916666679</v>
      </c>
      <c r="Q22" s="152">
        <f>I42</f>
        <v>8624.6653819444437</v>
      </c>
      <c r="R22" s="78"/>
    </row>
    <row r="23" spans="3:18" x14ac:dyDescent="0.2">
      <c r="D23" s="151">
        <v>42229.078125</v>
      </c>
      <c r="E23" s="78">
        <v>28019.954444444433</v>
      </c>
      <c r="F23" s="78">
        <v>32419.448750000003</v>
      </c>
      <c r="G23" s="78">
        <v>30036.917083333334</v>
      </c>
      <c r="H23" s="78">
        <v>58616.873611111092</v>
      </c>
      <c r="I23" s="78">
        <v>32507.005916666662</v>
      </c>
      <c r="J23" s="78">
        <v>30592.621041666662</v>
      </c>
      <c r="K23" s="152">
        <v>32694.690708333328</v>
      </c>
      <c r="L23" s="151">
        <f>G58</f>
        <v>36985.407152777771</v>
      </c>
      <c r="M23" s="78">
        <f>H58</f>
        <v>30472.501944444444</v>
      </c>
      <c r="N23" s="78">
        <f>P58</f>
        <v>16779.020375</v>
      </c>
      <c r="O23" s="152">
        <f>J58</f>
        <v>19143.994097222218</v>
      </c>
      <c r="P23" s="151">
        <f>L58</f>
        <v>12011.82666666667</v>
      </c>
      <c r="Q23" s="152">
        <f>I58</f>
        <v>15137.570590277775</v>
      </c>
      <c r="R23" s="78"/>
    </row>
    <row r="24" spans="3:18" x14ac:dyDescent="0.2">
      <c r="D24" s="153">
        <v>88954.555300000007</v>
      </c>
      <c r="E24" s="140">
        <v>59111.102374999988</v>
      </c>
      <c r="F24" s="140">
        <v>67014.435854166659</v>
      </c>
      <c r="G24" s="140">
        <v>63294.286249999997</v>
      </c>
      <c r="H24" s="140">
        <v>124155.45620833333</v>
      </c>
      <c r="I24" s="140">
        <v>68442.248685416664</v>
      </c>
      <c r="J24" s="140">
        <v>65561.347204166654</v>
      </c>
      <c r="K24" s="154">
        <v>69277.084770833331</v>
      </c>
      <c r="L24" s="153">
        <f>G72</f>
        <v>75338.945409722219</v>
      </c>
      <c r="M24" s="140">
        <f>H72</f>
        <v>61681.646902777757</v>
      </c>
      <c r="N24" s="140">
        <f>P72</f>
        <v>33864.10990625</v>
      </c>
      <c r="O24" s="154">
        <f>J72</f>
        <v>40346.829430555554</v>
      </c>
      <c r="P24" s="153">
        <f>L72</f>
        <v>24509.504120833339</v>
      </c>
      <c r="Q24" s="154">
        <f>I72</f>
        <v>18232.897222222222</v>
      </c>
      <c r="R24" s="78"/>
    </row>
    <row r="25" spans="3:18" x14ac:dyDescent="0.2">
      <c r="D25" s="17" t="s">
        <v>313</v>
      </c>
      <c r="E25" s="78"/>
      <c r="F25" s="78"/>
      <c r="G25" s="148"/>
    </row>
    <row r="26" spans="3:18" x14ac:dyDescent="0.2">
      <c r="D26" s="17"/>
      <c r="E26" s="78"/>
      <c r="F26" s="78"/>
      <c r="G26" s="148"/>
    </row>
    <row r="27" spans="3:18" x14ac:dyDescent="0.2">
      <c r="D27" s="17"/>
      <c r="E27" s="78"/>
      <c r="F27" s="78"/>
      <c r="G27" s="148"/>
    </row>
    <row r="28" spans="3:18" x14ac:dyDescent="0.2">
      <c r="D28" s="17"/>
      <c r="E28" s="78"/>
    </row>
    <row r="29" spans="3:18" ht="13.5" thickBot="1" x14ac:dyDescent="0.25">
      <c r="D29" s="17"/>
      <c r="E29" s="78"/>
    </row>
    <row r="30" spans="3:18" x14ac:dyDescent="0.2">
      <c r="C30" s="133" t="s">
        <v>175</v>
      </c>
      <c r="D30" s="112"/>
      <c r="E30" s="112"/>
      <c r="F30" s="112"/>
      <c r="G30" s="112"/>
      <c r="H30" s="112"/>
      <c r="I30" s="112"/>
      <c r="J30" s="112"/>
      <c r="K30" s="112"/>
      <c r="L30" s="112"/>
      <c r="M30" s="112"/>
      <c r="N30" s="112"/>
      <c r="O30" s="112"/>
      <c r="P30" s="112"/>
      <c r="Q30" s="112"/>
      <c r="R30" s="114"/>
    </row>
    <row r="31" spans="3:18" x14ac:dyDescent="0.2">
      <c r="C31" s="93"/>
      <c r="M31" s="66" t="s">
        <v>320</v>
      </c>
      <c r="N31" s="66" t="s">
        <v>321</v>
      </c>
      <c r="O31" s="3"/>
      <c r="P31" s="3"/>
      <c r="Q31" s="66" t="s">
        <v>183</v>
      </c>
      <c r="R31" s="170" t="s">
        <v>184</v>
      </c>
    </row>
    <row r="32" spans="3:18" ht="15" x14ac:dyDescent="0.25">
      <c r="C32" s="93"/>
      <c r="E32" s="128" t="s">
        <v>69</v>
      </c>
      <c r="F32" s="95" t="s">
        <v>70</v>
      </c>
      <c r="G32" s="96" t="s">
        <v>71</v>
      </c>
      <c r="H32" s="96" t="s">
        <v>72</v>
      </c>
      <c r="I32" s="129" t="s">
        <v>73</v>
      </c>
      <c r="J32" s="96" t="s">
        <v>74</v>
      </c>
      <c r="K32" s="97" t="s">
        <v>75</v>
      </c>
      <c r="L32" s="97" t="s">
        <v>76</v>
      </c>
      <c r="M32" s="97" t="s">
        <v>77</v>
      </c>
      <c r="N32" s="97" t="s">
        <v>77</v>
      </c>
      <c r="O32" s="97" t="s">
        <v>78</v>
      </c>
      <c r="P32" s="97" t="s">
        <v>79</v>
      </c>
      <c r="Q32" s="351" t="s">
        <v>80</v>
      </c>
      <c r="R32" s="352" t="s">
        <v>80</v>
      </c>
    </row>
    <row r="33" spans="3:18" x14ac:dyDescent="0.2">
      <c r="C33" s="93"/>
      <c r="D33" t="s">
        <v>18</v>
      </c>
      <c r="E33" s="78">
        <v>0</v>
      </c>
      <c r="F33" s="78">
        <v>0</v>
      </c>
      <c r="G33" s="78">
        <f>$E$9*'Maximum FTE allowable'!I10*'Per FTE cost'!E21</f>
        <v>0</v>
      </c>
      <c r="H33" s="78">
        <f>$E$9*'Maximum FTE allowable'!J10*'Per FTE cost'!F21</f>
        <v>0</v>
      </c>
      <c r="I33" s="78">
        <f>$E$9*'Maximum FTE allowable'!K10*'Per FTE cost'!G21</f>
        <v>0</v>
      </c>
      <c r="J33" s="78">
        <f>$E$9*'Maximum FTE allowable'!L10*'Per FTE cost'!H21</f>
        <v>0</v>
      </c>
      <c r="K33" s="78">
        <v>0</v>
      </c>
      <c r="L33" s="78">
        <f>$E$9*'Maximum FTE allowable'!N10*'Per FTE cost'!J21</f>
        <v>0</v>
      </c>
      <c r="M33" s="78">
        <v>0</v>
      </c>
      <c r="N33" s="78">
        <v>0</v>
      </c>
      <c r="O33" s="78">
        <v>0</v>
      </c>
      <c r="P33" s="78">
        <f>$E$9*'Maximum FTE allowable'!R10*'Per FTE cost'!N21</f>
        <v>0</v>
      </c>
      <c r="Q33" s="78">
        <v>0</v>
      </c>
      <c r="R33" s="99">
        <v>0</v>
      </c>
    </row>
    <row r="34" spans="3:18" x14ac:dyDescent="0.2">
      <c r="C34" s="93"/>
      <c r="D34" t="s">
        <v>15</v>
      </c>
      <c r="E34" s="78">
        <v>0</v>
      </c>
      <c r="F34" s="78">
        <v>0</v>
      </c>
      <c r="G34" s="78">
        <f>$E$10*'Maximum FTE allowable'!I11*'Per FTE cost'!E22</f>
        <v>0</v>
      </c>
      <c r="H34" s="78">
        <f>$E$10*'Maximum FTE allowable'!J11*'Per FTE cost'!F22</f>
        <v>0</v>
      </c>
      <c r="I34" s="78">
        <f>$E$10*'Maximum FTE allowable'!K11*'Per FTE cost'!G22</f>
        <v>0</v>
      </c>
      <c r="J34" s="78">
        <f>$E$10*'Maximum FTE allowable'!L11*'Per FTE cost'!H22</f>
        <v>0</v>
      </c>
      <c r="K34" s="78">
        <v>0</v>
      </c>
      <c r="L34" s="78">
        <f>$E$10*'Maximum FTE allowable'!N11*'Per FTE cost'!J22</f>
        <v>0</v>
      </c>
      <c r="M34" s="78">
        <v>0</v>
      </c>
      <c r="N34" s="78">
        <v>0</v>
      </c>
      <c r="O34" s="78">
        <v>0</v>
      </c>
      <c r="P34" s="78">
        <f>$E$10*'Maximum FTE allowable'!R11*'Per FTE cost'!N22</f>
        <v>0</v>
      </c>
      <c r="Q34" s="78">
        <v>0</v>
      </c>
      <c r="R34" s="99">
        <v>0</v>
      </c>
    </row>
    <row r="35" spans="3:18" x14ac:dyDescent="0.2">
      <c r="C35" s="93"/>
      <c r="D35" t="s">
        <v>28</v>
      </c>
      <c r="E35" s="78">
        <v>0</v>
      </c>
      <c r="F35" s="78">
        <v>0</v>
      </c>
      <c r="G35" s="78">
        <v>0</v>
      </c>
      <c r="H35" s="78">
        <v>0</v>
      </c>
      <c r="I35" s="78">
        <v>0</v>
      </c>
      <c r="J35" s="78">
        <v>0</v>
      </c>
      <c r="K35" s="78">
        <v>0</v>
      </c>
      <c r="L35" s="78">
        <v>0</v>
      </c>
      <c r="M35" s="78">
        <v>0</v>
      </c>
      <c r="N35" s="78">
        <v>0</v>
      </c>
      <c r="O35" s="78">
        <v>0</v>
      </c>
      <c r="P35" s="78">
        <v>0</v>
      </c>
      <c r="Q35" s="78">
        <v>0</v>
      </c>
      <c r="R35" s="99">
        <v>0</v>
      </c>
    </row>
    <row r="36" spans="3:18" x14ac:dyDescent="0.2">
      <c r="C36" s="93"/>
      <c r="D36" t="s">
        <v>30</v>
      </c>
      <c r="E36" s="78">
        <v>10274.355555555556</v>
      </c>
      <c r="F36" s="78">
        <v>4495.0305555555542</v>
      </c>
      <c r="G36" s="78">
        <f>VLOOKUP(G$32,Wages!$C$6:$H$17,6,FALSE)*'Maximum FTE allowable'!I14/12*$E$12</f>
        <v>6285.1812499999987</v>
      </c>
      <c r="H36" s="78">
        <f>VLOOKUP(H$32,Wages!$C$6:$H$17,6,FALSE)*'Maximum FTE allowable'!J14/12*$E$12</f>
        <v>4888.4743055555546</v>
      </c>
      <c r="I36" s="78">
        <f>VLOOKUP(I$32,Wages!$C$6:$H$17,6,FALSE)*'Maximum FTE allowable'!K14/12*$E$12</f>
        <v>3491.7673611111109</v>
      </c>
      <c r="J36" s="78">
        <f>VLOOKUP(J$32,Wages!$C$6:$H$17,6,FALSE)*'Maximum FTE allowable'!L14/12*$E$12</f>
        <v>3491.7673611111109</v>
      </c>
      <c r="K36" s="78">
        <v>7305.2695833333346</v>
      </c>
      <c r="L36" s="78">
        <f>VLOOKUP(L$32,Wages!$C$6:$H$17,6,FALSE)*'Maximum FTE allowable'!N14/12*$E$12</f>
        <v>1992.3462500000003</v>
      </c>
      <c r="M36" s="78">
        <v>5312.9233333333341</v>
      </c>
      <c r="N36" s="78">
        <v>5312.9233333333341</v>
      </c>
      <c r="O36" s="78">
        <v>5312.9233333333341</v>
      </c>
      <c r="P36" s="78">
        <f>VLOOKUP(P$32,Wages!$C$6:$H$17,6,FALSE)*'Maximum FTE allowable'!R14/12*$E$12</f>
        <v>2656.461666666667</v>
      </c>
      <c r="Q36" s="78">
        <v>5269.0604166666662</v>
      </c>
      <c r="R36" s="99">
        <v>5269.0604166666662</v>
      </c>
    </row>
    <row r="37" spans="3:18" x14ac:dyDescent="0.2">
      <c r="C37" s="93"/>
      <c r="D37" t="s">
        <v>32</v>
      </c>
      <c r="E37" s="78">
        <v>0</v>
      </c>
      <c r="F37" s="78">
        <v>0</v>
      </c>
      <c r="G37" s="78">
        <v>0</v>
      </c>
      <c r="H37" s="78">
        <v>0</v>
      </c>
      <c r="I37" s="78">
        <v>0</v>
      </c>
      <c r="J37" s="78">
        <v>0</v>
      </c>
      <c r="K37" s="78">
        <v>0</v>
      </c>
      <c r="L37" s="78">
        <v>0</v>
      </c>
      <c r="M37" s="78">
        <v>0</v>
      </c>
      <c r="N37" s="78">
        <v>0</v>
      </c>
      <c r="O37" s="78">
        <v>0</v>
      </c>
      <c r="P37" s="78">
        <v>0</v>
      </c>
      <c r="Q37" s="78">
        <v>0</v>
      </c>
      <c r="R37" s="99">
        <v>0</v>
      </c>
    </row>
    <row r="38" spans="3:18" x14ac:dyDescent="0.2">
      <c r="C38" s="93"/>
      <c r="D38" t="s">
        <v>34</v>
      </c>
      <c r="E38" s="78">
        <v>8990.0611111111084</v>
      </c>
      <c r="F38" s="78">
        <v>4495.0305555555542</v>
      </c>
      <c r="G38" s="78">
        <v>5586.8277777777776</v>
      </c>
      <c r="H38" s="78">
        <v>4888.4743055555546</v>
      </c>
      <c r="I38" s="78">
        <v>1745.8836805555554</v>
      </c>
      <c r="J38" s="78">
        <v>2793.4138888888888</v>
      </c>
      <c r="K38" s="78">
        <v>6641.1541666666672</v>
      </c>
      <c r="L38" s="78">
        <v>1992.3462500000003</v>
      </c>
      <c r="M38" s="78">
        <v>4648.8079166666666</v>
      </c>
      <c r="N38" s="78">
        <v>5312.9233333333341</v>
      </c>
      <c r="O38" s="78">
        <v>5312.9233333333341</v>
      </c>
      <c r="P38" s="78">
        <v>2656.461666666667</v>
      </c>
      <c r="Q38" s="78">
        <v>5269.0604166666662</v>
      </c>
      <c r="R38" s="99">
        <v>4516.3374999999996</v>
      </c>
    </row>
    <row r="39" spans="3:18" x14ac:dyDescent="0.2">
      <c r="C39" s="93"/>
      <c r="D39" t="s">
        <v>36</v>
      </c>
      <c r="E39" s="78">
        <v>3852.8833333333328</v>
      </c>
      <c r="F39" s="78">
        <v>1926.4416666666664</v>
      </c>
      <c r="G39" s="78">
        <f>VLOOKUP(G$32,Wages!$C$6:$H$17,6,FALSE)*'Maximum FTE allowable'!I17/12*$E$15</f>
        <v>2793.4138888888888</v>
      </c>
      <c r="H39" s="78">
        <f>VLOOKUP(H$32,Wages!$C$6:$H$17,6,FALSE)*'Maximum FTE allowable'!J17/12*$E$15</f>
        <v>2095.0604166666662</v>
      </c>
      <c r="I39" s="78">
        <f>VLOOKUP(I$32,Wages!$C$6:$H$17,6,FALSE)*'Maximum FTE allowable'!K17/12*$E$15</f>
        <v>1396.7069444444444</v>
      </c>
      <c r="J39" s="78">
        <f>VLOOKUP(J$32,Wages!$C$6:$H$17,6,FALSE)*'Maximum FTE allowable'!L17/12*$E$15</f>
        <v>1396.7069444444444</v>
      </c>
      <c r="K39" s="78">
        <v>2656.461666666667</v>
      </c>
      <c r="L39" s="78">
        <f>VLOOKUP(L$32,Wages!$C$6:$H$17,6,FALSE)*'Maximum FTE allowable'!N17/12*$E$15</f>
        <v>664.11541666666676</v>
      </c>
      <c r="M39" s="78">
        <v>1992.3462500000003</v>
      </c>
      <c r="N39" s="78">
        <v>1992.3462500000003</v>
      </c>
      <c r="O39" s="78">
        <v>1992.3462500000003</v>
      </c>
      <c r="P39" s="78">
        <f>VLOOKUP(P$32,Wages!$C$6:$H$17,6,FALSE)*'Maximum FTE allowable'!R17/12*$E$15</f>
        <v>1328.2308333333335</v>
      </c>
      <c r="Q39" s="78">
        <v>2258.1687499999998</v>
      </c>
      <c r="R39" s="99">
        <v>2258.1687499999998</v>
      </c>
    </row>
    <row r="40" spans="3:18" x14ac:dyDescent="0.2">
      <c r="C40" s="93"/>
      <c r="D40" t="s">
        <v>38</v>
      </c>
      <c r="E40" s="78">
        <v>0</v>
      </c>
      <c r="F40" s="78">
        <v>0</v>
      </c>
      <c r="G40" s="78">
        <v>0</v>
      </c>
      <c r="H40" s="78">
        <v>0</v>
      </c>
      <c r="I40" s="78">
        <v>0</v>
      </c>
      <c r="J40" s="78">
        <v>0</v>
      </c>
      <c r="K40" s="78">
        <v>0</v>
      </c>
      <c r="L40" s="78">
        <v>0</v>
      </c>
      <c r="M40" s="78">
        <v>0</v>
      </c>
      <c r="N40" s="78">
        <v>0</v>
      </c>
      <c r="O40" s="78">
        <v>0</v>
      </c>
      <c r="P40" s="78">
        <v>0</v>
      </c>
      <c r="Q40" s="78">
        <v>0</v>
      </c>
      <c r="R40" s="99">
        <v>0</v>
      </c>
    </row>
    <row r="41" spans="3:18" x14ac:dyDescent="0.2">
      <c r="C41" s="93"/>
      <c r="D41" s="139" t="s">
        <v>182</v>
      </c>
      <c r="E41" s="146">
        <v>6935.1899999999987</v>
      </c>
      <c r="F41" s="146">
        <v>3274.950833333332</v>
      </c>
      <c r="G41" s="146">
        <f t="shared" ref="G41:R41" si="0">SUM(G33:G40)*0.3</f>
        <v>4399.626874999999</v>
      </c>
      <c r="H41" s="146">
        <f t="shared" si="0"/>
        <v>3561.6027083333324</v>
      </c>
      <c r="I41" s="146">
        <f t="shared" si="0"/>
        <v>1990.307395833333</v>
      </c>
      <c r="J41" s="146">
        <f t="shared" si="0"/>
        <v>2304.5664583333332</v>
      </c>
      <c r="K41" s="146">
        <v>4980.8656250000004</v>
      </c>
      <c r="L41" s="146">
        <f t="shared" si="0"/>
        <v>1394.6423750000001</v>
      </c>
      <c r="M41" s="146">
        <f t="shared" si="0"/>
        <v>3586.2232500000005</v>
      </c>
      <c r="N41" s="146">
        <f t="shared" si="0"/>
        <v>3785.4578750000005</v>
      </c>
      <c r="O41" s="146">
        <f t="shared" si="0"/>
        <v>3785.4578750000005</v>
      </c>
      <c r="P41" s="146">
        <f t="shared" si="0"/>
        <v>1992.3462500000001</v>
      </c>
      <c r="Q41" s="146">
        <f t="shared" si="0"/>
        <v>3838.8868749999992</v>
      </c>
      <c r="R41" s="147">
        <f t="shared" si="0"/>
        <v>3613.0699999999997</v>
      </c>
    </row>
    <row r="42" spans="3:18" x14ac:dyDescent="0.2">
      <c r="C42" s="93"/>
      <c r="D42" s="142" t="s">
        <v>187</v>
      </c>
      <c r="E42" s="192">
        <v>30052.489999999994</v>
      </c>
      <c r="F42" s="192">
        <v>14191.453611111107</v>
      </c>
      <c r="G42" s="192">
        <f t="shared" ref="G42:R42" si="1">SUM(G33:G41)</f>
        <v>19065.049791666665</v>
      </c>
      <c r="H42" s="192">
        <f t="shared" si="1"/>
        <v>15433.611736111106</v>
      </c>
      <c r="I42" s="192">
        <f t="shared" si="1"/>
        <v>8624.6653819444437</v>
      </c>
      <c r="J42" s="192">
        <f t="shared" si="1"/>
        <v>9986.4546527777766</v>
      </c>
      <c r="K42" s="192">
        <v>21583.75104166667</v>
      </c>
      <c r="L42" s="192">
        <f t="shared" si="1"/>
        <v>6043.4502916666679</v>
      </c>
      <c r="M42" s="192">
        <f t="shared" si="1"/>
        <v>15540.300750000002</v>
      </c>
      <c r="N42" s="192">
        <f t="shared" si="1"/>
        <v>16403.650791666671</v>
      </c>
      <c r="O42" s="192">
        <f t="shared" si="1"/>
        <v>16403.650791666671</v>
      </c>
      <c r="P42" s="192">
        <f t="shared" si="1"/>
        <v>8633.5004166666677</v>
      </c>
      <c r="Q42" s="192">
        <f t="shared" si="1"/>
        <v>16635.176458333332</v>
      </c>
      <c r="R42" s="143">
        <f t="shared" si="1"/>
        <v>15656.636666666665</v>
      </c>
    </row>
    <row r="43" spans="3:18" ht="13.5" thickBot="1" x14ac:dyDescent="0.25">
      <c r="C43" s="101"/>
      <c r="D43" s="144"/>
      <c r="E43" s="144"/>
      <c r="F43" s="144"/>
      <c r="G43" s="144"/>
      <c r="H43" s="144"/>
      <c r="I43" s="144"/>
      <c r="J43" s="144"/>
      <c r="K43" s="144"/>
      <c r="L43" s="144"/>
      <c r="M43" s="144"/>
      <c r="N43" s="144"/>
      <c r="O43" s="144"/>
      <c r="P43" s="144"/>
      <c r="Q43" s="144"/>
      <c r="R43" s="145"/>
    </row>
    <row r="45" spans="3:18" x14ac:dyDescent="0.2">
      <c r="E45" s="17"/>
    </row>
    <row r="46" spans="3:18" ht="13.5" thickBot="1" x14ac:dyDescent="0.25"/>
    <row r="47" spans="3:18" x14ac:dyDescent="0.2">
      <c r="C47" s="133" t="s">
        <v>174</v>
      </c>
      <c r="D47" s="112"/>
      <c r="E47" s="112"/>
      <c r="F47" s="112"/>
      <c r="G47" s="112"/>
      <c r="H47" s="112"/>
      <c r="I47" s="112"/>
      <c r="J47" s="112"/>
      <c r="K47" s="112"/>
      <c r="L47" s="112"/>
      <c r="M47" s="112"/>
      <c r="N47" s="112"/>
      <c r="O47" s="112"/>
      <c r="P47" s="112"/>
      <c r="Q47" s="112"/>
      <c r="R47" s="114"/>
    </row>
    <row r="48" spans="3:18" ht="15" x14ac:dyDescent="0.25">
      <c r="C48" s="93"/>
      <c r="E48" s="128" t="s">
        <v>69</v>
      </c>
      <c r="F48" s="95" t="s">
        <v>70</v>
      </c>
      <c r="G48" s="96" t="s">
        <v>71</v>
      </c>
      <c r="H48" s="96" t="s">
        <v>72</v>
      </c>
      <c r="I48" s="129" t="s">
        <v>73</v>
      </c>
      <c r="J48" s="96" t="s">
        <v>74</v>
      </c>
      <c r="K48" s="97" t="s">
        <v>75</v>
      </c>
      <c r="L48" s="97" t="s">
        <v>76</v>
      </c>
      <c r="M48" s="97" t="s">
        <v>77</v>
      </c>
      <c r="N48" s="97" t="s">
        <v>77</v>
      </c>
      <c r="O48" s="97" t="s">
        <v>78</v>
      </c>
      <c r="P48" s="97" t="s">
        <v>79</v>
      </c>
      <c r="Q48" s="351" t="s">
        <v>80</v>
      </c>
      <c r="R48" s="352" t="s">
        <v>80</v>
      </c>
    </row>
    <row r="49" spans="3:18" x14ac:dyDescent="0.2">
      <c r="C49" s="93"/>
      <c r="D49" t="s">
        <v>18</v>
      </c>
      <c r="E49" s="78">
        <v>0</v>
      </c>
      <c r="F49" s="78">
        <v>0</v>
      </c>
      <c r="G49" s="78">
        <f>$F$9*'Maximum FTE allowable'!I$10*'Per FTE cost'!E21</f>
        <v>0</v>
      </c>
      <c r="H49" s="78">
        <f>$F$9*'Maximum FTE allowable'!J$10*'Per FTE cost'!F21</f>
        <v>0</v>
      </c>
      <c r="I49" s="78">
        <f>$F$9*'Maximum FTE allowable'!K$10*'Per FTE cost'!G21</f>
        <v>0</v>
      </c>
      <c r="J49" s="78">
        <f>$F$9*'Maximum FTE allowable'!L$10*'Per FTE cost'!H21</f>
        <v>0</v>
      </c>
      <c r="K49" s="78">
        <v>0</v>
      </c>
      <c r="L49" s="78">
        <f>$F$9*'Maximum FTE allowable'!N$10*'Per FTE cost'!J21</f>
        <v>0</v>
      </c>
      <c r="M49" s="78">
        <v>0</v>
      </c>
      <c r="N49" s="78">
        <v>0</v>
      </c>
      <c r="O49" s="78">
        <v>0</v>
      </c>
      <c r="P49" s="78">
        <f>$F$9*'Maximum FTE allowable'!R$10*'Per FTE cost'!N21</f>
        <v>0</v>
      </c>
      <c r="Q49" s="78">
        <v>0</v>
      </c>
      <c r="R49" s="99">
        <v>0</v>
      </c>
    </row>
    <row r="50" spans="3:18" x14ac:dyDescent="0.2">
      <c r="C50" s="93"/>
      <c r="D50" t="s">
        <v>15</v>
      </c>
      <c r="E50" s="78">
        <v>0</v>
      </c>
      <c r="F50" s="78">
        <v>0</v>
      </c>
      <c r="G50" s="78">
        <f>$F$9*'Maximum FTE allowable'!I$10*'Per FTE cost'!E22</f>
        <v>0</v>
      </c>
      <c r="H50" s="78">
        <f>$F$9*'Maximum FTE allowable'!J$10*'Per FTE cost'!F22</f>
        <v>0</v>
      </c>
      <c r="I50" s="78">
        <f>$F$9*'Maximum FTE allowable'!K$10*'Per FTE cost'!G22</f>
        <v>0</v>
      </c>
      <c r="J50" s="78">
        <f>$F$9*'Maximum FTE allowable'!L$10*'Per FTE cost'!H22</f>
        <v>0</v>
      </c>
      <c r="K50" s="78">
        <v>0</v>
      </c>
      <c r="L50" s="78">
        <f>$F$9*'Maximum FTE allowable'!N$10*'Per FTE cost'!J22</f>
        <v>0</v>
      </c>
      <c r="M50" s="78">
        <v>0</v>
      </c>
      <c r="N50" s="78">
        <v>0</v>
      </c>
      <c r="O50" s="78">
        <v>0</v>
      </c>
      <c r="P50" s="78">
        <f>$F$9*'Maximum FTE allowable'!R$10*'Per FTE cost'!N22</f>
        <v>0</v>
      </c>
      <c r="Q50" s="78">
        <v>0</v>
      </c>
      <c r="R50" s="99">
        <v>0</v>
      </c>
    </row>
    <row r="51" spans="3:18" x14ac:dyDescent="0.2">
      <c r="C51" s="93"/>
      <c r="D51" t="s">
        <v>28</v>
      </c>
      <c r="E51" s="78">
        <v>12982.541666666666</v>
      </c>
      <c r="F51" s="78">
        <v>6142.2777777777774</v>
      </c>
      <c r="G51" s="78">
        <f>VLOOKUP(G$32,Wages!$C$6:$H$17,5,FALSE)*'Maximum FTE allowable'!I13/12*$F11</f>
        <v>8198.0625</v>
      </c>
      <c r="H51" s="78">
        <f>VLOOKUP(H$32,Wages!$C$6:$H$17,5,FALSE)*'Maximum FTE allowable'!J13/12*$F11</f>
        <v>6679.9027777777774</v>
      </c>
      <c r="I51" s="78">
        <f>VLOOKUP(I$32,Wages!$C$6:$H$17,5,FALSE)*'Maximum FTE allowable'!K13/12*$F11</f>
        <v>1518.1597222222219</v>
      </c>
      <c r="J51" s="78">
        <f>VLOOKUP(J$32,Wages!$C$6:$H$17,5,FALSE)*'Maximum FTE allowable'!L13/12*$F11</f>
        <v>4250.8472222222217</v>
      </c>
      <c r="K51" s="78">
        <v>9239.8666666666668</v>
      </c>
      <c r="L51" s="78">
        <f>VLOOKUP(L$32,Wages!$C$6:$H$17,5,FALSE)*'Maximum FTE allowable'!N13/12*$F11</f>
        <v>2598.7125000000001</v>
      </c>
      <c r="M51" s="78">
        <v>6929.9000000000005</v>
      </c>
      <c r="N51" s="78">
        <v>7218.645833333333</v>
      </c>
      <c r="O51" s="78">
        <v>7074.2729166666677</v>
      </c>
      <c r="P51" s="78">
        <f>VLOOKUP(P$32,Wages!$C$6:$H$17,5,FALSE)*'Maximum FTE allowable'!R13/12*$F11</f>
        <v>3609.3229166666665</v>
      </c>
      <c r="Q51" s="78">
        <v>6872.6875</v>
      </c>
      <c r="R51" s="99">
        <v>6545.416666666667</v>
      </c>
    </row>
    <row r="52" spans="3:18" x14ac:dyDescent="0.2">
      <c r="C52" s="93"/>
      <c r="D52" t="s">
        <v>30</v>
      </c>
      <c r="E52" s="78">
        <v>10274.355555555556</v>
      </c>
      <c r="F52" s="78">
        <v>4495.0305555555542</v>
      </c>
      <c r="G52" s="78">
        <f>VLOOKUP(G$32,Wages!$C$6:$H$17,6,FALSE)*'Maximum FTE allowable'!I14/12*$F12</f>
        <v>6285.1812499999987</v>
      </c>
      <c r="H52" s="78">
        <f>VLOOKUP(H$32,Wages!$C$6:$H$17,6,FALSE)*'Maximum FTE allowable'!J14/12*$F12</f>
        <v>4888.4743055555546</v>
      </c>
      <c r="I52" s="78">
        <f>VLOOKUP(I$32,Wages!$C$6:$H$17,6,FALSE)*'Maximum FTE allowable'!K14/12*$F12</f>
        <v>3491.7673611111109</v>
      </c>
      <c r="J52" s="78">
        <f>VLOOKUP(J$32,Wages!$C$6:$H$17,6,FALSE)*'Maximum FTE allowable'!L14/12*$F12</f>
        <v>3491.7673611111109</v>
      </c>
      <c r="K52" s="78">
        <v>7305.2695833333346</v>
      </c>
      <c r="L52" s="78">
        <f>VLOOKUP(L$32,Wages!$C$6:$H$17,6,FALSE)*'Maximum FTE allowable'!N14/12*$F12</f>
        <v>1992.3462500000003</v>
      </c>
      <c r="M52" s="78">
        <v>5312.9233333333341</v>
      </c>
      <c r="N52" s="78">
        <v>5312.9233333333341</v>
      </c>
      <c r="O52" s="78">
        <v>5312.9233333333341</v>
      </c>
      <c r="P52" s="78">
        <f>VLOOKUP(P$32,Wages!$C$6:$H$17,6,FALSE)*'Maximum FTE allowable'!R14/12*$F12</f>
        <v>2656.461666666667</v>
      </c>
      <c r="Q52" s="78">
        <v>5269.0604166666662</v>
      </c>
      <c r="R52" s="99">
        <v>5269.0604166666662</v>
      </c>
    </row>
    <row r="53" spans="3:18" x14ac:dyDescent="0.2">
      <c r="C53" s="93"/>
      <c r="D53" t="s">
        <v>32</v>
      </c>
      <c r="E53" s="78">
        <v>8990.0611111111084</v>
      </c>
      <c r="F53" s="78">
        <v>4495.0305555555542</v>
      </c>
      <c r="G53" s="78">
        <f>VLOOKUP(G$32,Wages!$C$6:$H$17,6,FALSE)*'Maximum FTE allowable'!I15/12*$F13</f>
        <v>5586.8277777777776</v>
      </c>
      <c r="H53" s="78">
        <f>VLOOKUP(H$32,Wages!$C$6:$H$17,6,FALSE)*'Maximum FTE allowable'!J15/12*$F13</f>
        <v>4888.4743055555546</v>
      </c>
      <c r="I53" s="78">
        <f>VLOOKUP(I$32,Wages!$C$6:$H$17,6,FALSE)*'Maximum FTE allowable'!K15/12*$F13</f>
        <v>3491.7673611111109</v>
      </c>
      <c r="J53" s="78">
        <f>VLOOKUP(J$32,Wages!$C$6:$H$17,6,FALSE)*'Maximum FTE allowable'!L15/12*$F13</f>
        <v>2793.4138888888888</v>
      </c>
      <c r="K53" s="78">
        <v>6641.1541666666672</v>
      </c>
      <c r="L53" s="78">
        <f>VLOOKUP(L$32,Wages!$C$6:$H$17,6,FALSE)*'Maximum FTE allowable'!N15/12*$F13</f>
        <v>1992.3462500000003</v>
      </c>
      <c r="M53" s="78">
        <v>4648.8079166666666</v>
      </c>
      <c r="N53" s="78">
        <v>5312.9233333333341</v>
      </c>
      <c r="O53" s="78">
        <v>5312.9233333333341</v>
      </c>
      <c r="P53" s="78">
        <f>VLOOKUP(P$32,Wages!$C$6:$H$17,6,FALSE)*'Maximum FTE allowable'!R15/12*$F13</f>
        <v>2656.461666666667</v>
      </c>
      <c r="Q53" s="78">
        <v>5269.0604166666662</v>
      </c>
      <c r="R53" s="99">
        <v>4516.3374999999996</v>
      </c>
    </row>
    <row r="54" spans="3:18" x14ac:dyDescent="0.2">
      <c r="C54" s="93"/>
      <c r="D54" t="s">
        <v>34</v>
      </c>
      <c r="E54" s="78">
        <v>8990.0611111111084</v>
      </c>
      <c r="F54" s="78">
        <v>4495.0305555555542</v>
      </c>
      <c r="G54" s="78">
        <f>VLOOKUP(G$32,Wages!$C$6:$H$17,6,FALSE)*'Maximum FTE allowable'!I16/12*$F14</f>
        <v>5586.8277777777776</v>
      </c>
      <c r="H54" s="78">
        <f>VLOOKUP(H$32,Wages!$C$6:$H$17,6,FALSE)*'Maximum FTE allowable'!J16/12*$F14</f>
        <v>4888.4743055555546</v>
      </c>
      <c r="I54" s="78">
        <f>VLOOKUP(I$32,Wages!$C$6:$H$17,6,FALSE)*'Maximum FTE allowable'!K16/12*$F14</f>
        <v>1745.8836805555554</v>
      </c>
      <c r="J54" s="78">
        <f>VLOOKUP(J$32,Wages!$C$6:$H$17,6,FALSE)*'Maximum FTE allowable'!L16/12*$F14</f>
        <v>2793.4138888888888</v>
      </c>
      <c r="K54" s="78">
        <v>6641.1541666666672</v>
      </c>
      <c r="L54" s="78">
        <f>VLOOKUP(L$32,Wages!$C$6:$H$17,6,FALSE)*'Maximum FTE allowable'!N16/12*$F14</f>
        <v>1992.3462500000003</v>
      </c>
      <c r="M54" s="78">
        <v>4648.8079166666666</v>
      </c>
      <c r="N54" s="78">
        <v>5312.9233333333341</v>
      </c>
      <c r="O54" s="78">
        <v>5312.9233333333341</v>
      </c>
      <c r="P54" s="78">
        <f>VLOOKUP(P$32,Wages!$C$6:$H$17,6,FALSE)*'Maximum FTE allowable'!R16/12*$F14</f>
        <v>2656.461666666667</v>
      </c>
      <c r="Q54" s="78">
        <v>5269.0604166666662</v>
      </c>
      <c r="R54" s="99">
        <v>4516.3374999999996</v>
      </c>
    </row>
    <row r="55" spans="3:18" x14ac:dyDescent="0.2">
      <c r="C55" s="93"/>
      <c r="D55" t="s">
        <v>36</v>
      </c>
      <c r="E55" s="78">
        <v>3852.8833333333328</v>
      </c>
      <c r="F55" s="78">
        <v>1926.4416666666664</v>
      </c>
      <c r="G55" s="78">
        <f>VLOOKUP(G$32,Wages!$C$6:$H$17,6,FALSE)*'Maximum FTE allowable'!I17/12*$F15</f>
        <v>2793.4138888888888</v>
      </c>
      <c r="H55" s="78">
        <f>VLOOKUP(H$32,Wages!$C$6:$H$17,6,FALSE)*'Maximum FTE allowable'!J17/12*$F15</f>
        <v>2095.0604166666662</v>
      </c>
      <c r="I55" s="78">
        <f>VLOOKUP(I$32,Wages!$C$6:$H$17,6,FALSE)*'Maximum FTE allowable'!K17/12*$F15</f>
        <v>1396.7069444444444</v>
      </c>
      <c r="J55" s="78">
        <f>VLOOKUP(J$32,Wages!$C$6:$H$17,6,FALSE)*'Maximum FTE allowable'!L17/12*$F15</f>
        <v>1396.7069444444444</v>
      </c>
      <c r="K55" s="78">
        <v>2656.461666666667</v>
      </c>
      <c r="L55" s="78">
        <f>VLOOKUP(L$32,Wages!$C$6:$H$17,6,FALSE)*'Maximum FTE allowable'!N17/12*$F15</f>
        <v>664.11541666666676</v>
      </c>
      <c r="M55" s="78">
        <v>1992.3462500000003</v>
      </c>
      <c r="N55" s="78">
        <v>1992.3462500000003</v>
      </c>
      <c r="O55" s="78">
        <v>1992.3462500000003</v>
      </c>
      <c r="P55" s="78">
        <f>VLOOKUP(P$32,Wages!$C$6:$H$17,6,FALSE)*'Maximum FTE allowable'!R17/12*$F15</f>
        <v>1328.2308333333335</v>
      </c>
      <c r="Q55" s="78">
        <v>2258.1687499999998</v>
      </c>
      <c r="R55" s="99">
        <v>2258.1687499999998</v>
      </c>
    </row>
    <row r="56" spans="3:18" x14ac:dyDescent="0.2">
      <c r="C56" s="93"/>
      <c r="D56" t="s">
        <v>38</v>
      </c>
      <c r="E56" s="78">
        <v>0</v>
      </c>
      <c r="F56" s="78">
        <v>0</v>
      </c>
      <c r="G56" s="78">
        <f>VLOOKUP(G$32,Wages!$C$5:$H$17,4,FALSE)*'Maximum FTE allowable'!I18/12*$F16</f>
        <v>0</v>
      </c>
      <c r="H56" s="78">
        <f>VLOOKUP(H$32,Wages!$C$5:$H$17,4,FALSE)*'Maximum FTE allowable'!J18/12*$F16</f>
        <v>0</v>
      </c>
      <c r="I56" s="78">
        <f>VLOOKUP(I$32,Wages!$C$5:$H$17,4,FALSE)*'Maximum FTE allowable'!K18/12*$F16</f>
        <v>0</v>
      </c>
      <c r="J56" s="78">
        <f>VLOOKUP(J$32,Wages!$C$5:$H$17,4,FALSE)*'Maximum FTE allowable'!L18/12*$F16</f>
        <v>0</v>
      </c>
      <c r="K56" s="78">
        <v>0</v>
      </c>
      <c r="L56" s="78">
        <f>VLOOKUP(L$32,Wages!$C$5:$H$17,4,FALSE)*'Maximum FTE allowable'!N18/12*$F16</f>
        <v>0</v>
      </c>
      <c r="M56" s="78">
        <v>0</v>
      </c>
      <c r="N56" s="78">
        <v>0</v>
      </c>
      <c r="O56" s="78">
        <v>0</v>
      </c>
      <c r="P56" s="78">
        <f>VLOOKUP(P$32,Wages!$C$5:$H$17,4,FALSE)*'Maximum FTE allowable'!R18/12*$F16</f>
        <v>0</v>
      </c>
      <c r="Q56" s="78">
        <v>0</v>
      </c>
      <c r="R56" s="99">
        <v>0</v>
      </c>
    </row>
    <row r="57" spans="3:18" x14ac:dyDescent="0.2">
      <c r="C57" s="93"/>
      <c r="D57" s="139" t="s">
        <v>185</v>
      </c>
      <c r="E57" s="140">
        <v>13526.970833333329</v>
      </c>
      <c r="F57" s="140">
        <v>6466.1433333333307</v>
      </c>
      <c r="G57" s="140">
        <f t="shared" ref="G57" si="2">SUM(G49:G56)*0.3</f>
        <v>8535.0939583333311</v>
      </c>
      <c r="H57" s="140">
        <f t="shared" ref="H57" si="3">SUM(H49:H56)*0.3</f>
        <v>7032.1158333333333</v>
      </c>
      <c r="I57" s="140">
        <f t="shared" ref="I57" si="4">SUM(I49:I56)*0.3</f>
        <v>3493.2855208333326</v>
      </c>
      <c r="J57" s="140">
        <f t="shared" ref="J57" si="5">SUM(J49:J56)*0.3</f>
        <v>4417.8447916666655</v>
      </c>
      <c r="K57" s="140">
        <v>9745.171875</v>
      </c>
      <c r="L57" s="140">
        <f t="shared" ref="L57:O57" si="6">SUM(L49:L56)*0.3</f>
        <v>2771.9600000000005</v>
      </c>
      <c r="M57" s="140">
        <f t="shared" si="6"/>
        <v>7059.8356249999988</v>
      </c>
      <c r="N57" s="140">
        <f t="shared" si="6"/>
        <v>7544.9286249999986</v>
      </c>
      <c r="O57" s="140">
        <f t="shared" si="6"/>
        <v>7501.6167499999992</v>
      </c>
      <c r="P57" s="140">
        <f t="shared" ref="P57:R57" si="7">SUM(P49:P56)*0.3</f>
        <v>3872.0816249999998</v>
      </c>
      <c r="Q57" s="140">
        <f t="shared" si="7"/>
        <v>7481.4112500000001</v>
      </c>
      <c r="R57" s="141">
        <f t="shared" si="7"/>
        <v>6931.5962500000005</v>
      </c>
    </row>
    <row r="58" spans="3:18" ht="13.5" thickBot="1" x14ac:dyDescent="0.25">
      <c r="C58" s="101"/>
      <c r="D58" s="136" t="s">
        <v>187</v>
      </c>
      <c r="E58" s="137">
        <v>58616.873611111092</v>
      </c>
      <c r="F58" s="137">
        <v>28019.954444444433</v>
      </c>
      <c r="G58" s="137">
        <f t="shared" ref="G58" si="8">SUM(G49:G57)</f>
        <v>36985.407152777771</v>
      </c>
      <c r="H58" s="137">
        <f t="shared" ref="H58" si="9">SUM(H49:H57)</f>
        <v>30472.501944444444</v>
      </c>
      <c r="I58" s="137">
        <f t="shared" ref="I58" si="10">SUM(I49:I57)</f>
        <v>15137.570590277775</v>
      </c>
      <c r="J58" s="137">
        <f t="shared" ref="J58" si="11">SUM(J49:J57)</f>
        <v>19143.994097222218</v>
      </c>
      <c r="K58" s="137">
        <v>42229.078125</v>
      </c>
      <c r="L58" s="137">
        <f t="shared" ref="L58:O58" si="12">SUM(L49:L57)</f>
        <v>12011.82666666667</v>
      </c>
      <c r="M58" s="137">
        <f t="shared" si="12"/>
        <v>30592.621041666662</v>
      </c>
      <c r="N58" s="137">
        <f t="shared" si="12"/>
        <v>32694.690708333328</v>
      </c>
      <c r="O58" s="137">
        <f t="shared" si="12"/>
        <v>32507.005916666662</v>
      </c>
      <c r="P58" s="137">
        <f t="shared" ref="P58:R58" si="13">SUM(P49:P57)</f>
        <v>16779.020375</v>
      </c>
      <c r="Q58" s="137">
        <f t="shared" si="13"/>
        <v>32419.448750000003</v>
      </c>
      <c r="R58" s="138">
        <f t="shared" si="13"/>
        <v>30036.917083333334</v>
      </c>
    </row>
    <row r="60" spans="3:18" ht="13.5" thickBot="1" x14ac:dyDescent="0.25"/>
    <row r="61" spans="3:18" x14ac:dyDescent="0.2">
      <c r="C61" s="133" t="s">
        <v>176</v>
      </c>
      <c r="D61" s="112"/>
      <c r="E61" s="112"/>
      <c r="F61" s="112"/>
      <c r="G61" s="347"/>
      <c r="H61" s="347"/>
      <c r="I61" s="347"/>
      <c r="J61" s="347"/>
      <c r="K61" s="112"/>
      <c r="L61" s="347"/>
      <c r="M61" s="112"/>
      <c r="N61" s="112"/>
      <c r="O61" s="112"/>
      <c r="P61" s="347"/>
      <c r="Q61" s="112"/>
      <c r="R61" s="114"/>
    </row>
    <row r="62" spans="3:18" ht="15" x14ac:dyDescent="0.25">
      <c r="C62" s="93"/>
      <c r="E62" s="128" t="s">
        <v>69</v>
      </c>
      <c r="F62" s="95" t="s">
        <v>70</v>
      </c>
      <c r="G62" s="96" t="s">
        <v>71</v>
      </c>
      <c r="H62" s="96" t="s">
        <v>72</v>
      </c>
      <c r="I62" s="129" t="s">
        <v>73</v>
      </c>
      <c r="J62" s="96" t="s">
        <v>74</v>
      </c>
      <c r="K62" s="97" t="s">
        <v>75</v>
      </c>
      <c r="L62" s="97" t="s">
        <v>76</v>
      </c>
      <c r="M62" s="97" t="s">
        <v>77</v>
      </c>
      <c r="N62" s="97" t="s">
        <v>77</v>
      </c>
      <c r="O62" s="97" t="s">
        <v>78</v>
      </c>
      <c r="P62" s="97" t="s">
        <v>79</v>
      </c>
      <c r="Q62" s="351" t="s">
        <v>80</v>
      </c>
      <c r="R62" s="352" t="s">
        <v>80</v>
      </c>
    </row>
    <row r="63" spans="3:18" x14ac:dyDescent="0.2">
      <c r="C63" s="93"/>
      <c r="D63" t="s">
        <v>18</v>
      </c>
      <c r="E63" s="78">
        <v>34960</v>
      </c>
      <c r="F63" s="78">
        <v>16569.583333333332</v>
      </c>
      <c r="G63" s="78">
        <f>$G$9*('Maximum FTE allowable'!I$11)*('Per FTE cost'!E21/12)</f>
        <v>20462.152777777777</v>
      </c>
      <c r="H63" s="78">
        <f>$G$9*('Maximum FTE allowable'!J$11)*('Per FTE cost'!F21/12)</f>
        <v>16633.75</v>
      </c>
      <c r="I63" s="78">
        <f>$G$9*('Maximum FTE allowable'!K$11)*('Per FTE cost'!G21/12)</f>
        <v>1452.1527777777778</v>
      </c>
      <c r="J63" s="78">
        <f>$G$9*('Maximum FTE allowable'!L$10)*('Per FTE cost'!H21/12)</f>
        <v>11584.218749999998</v>
      </c>
      <c r="K63" s="78">
        <v>25045.562500000004</v>
      </c>
      <c r="L63" s="78">
        <f>$G$9*('Maximum FTE allowable'!N$11)*('Per FTE cost'!J21/12)</f>
        <v>6528.166666666667</v>
      </c>
      <c r="M63" s="78">
        <v>18737.09375</v>
      </c>
      <c r="N63" s="78">
        <v>19584.500000000004</v>
      </c>
      <c r="O63" s="78">
        <v>19302.03125</v>
      </c>
      <c r="P63" s="78">
        <f>$G$9*('Maximum FTE allowable'!R$11)*('Per FTE cost'!M21/12)</f>
        <v>9039</v>
      </c>
      <c r="Q63" s="78">
        <v>18569.0625</v>
      </c>
      <c r="R63" s="99">
        <v>17822.03125</v>
      </c>
    </row>
    <row r="64" spans="3:18" x14ac:dyDescent="0.2">
      <c r="C64" s="93"/>
      <c r="D64" t="s">
        <v>15</v>
      </c>
      <c r="E64" s="78">
        <v>8261.9999999999982</v>
      </c>
      <c r="F64" s="78">
        <v>3915.8437499999995</v>
      </c>
      <c r="G64" s="78">
        <f>$G$9*('Maximum FTE allowable'!I$11*'Maximum FTE allowable'!$G$23)*('Per FTE cost'!E22/12)</f>
        <v>4546.6666666666661</v>
      </c>
      <c r="H64" s="78">
        <f>$G$9*('Maximum FTE allowable'!J$11*'Maximum FTE allowable'!$G$23)*('Per FTE cost'!F22/12)</f>
        <v>3696</v>
      </c>
      <c r="I64" s="78">
        <f>$G$9*('Maximum FTE allowable'!K$11*'Maximum FTE allowable'!$G$23)*('Per FTE cost'!G22/12)</f>
        <v>322.66666666666669</v>
      </c>
      <c r="J64" s="78">
        <f>$G$9*('Maximum FTE allowable'!L$11*'Maximum FTE allowable'!$G$23)*('Per FTE cost'!H22/12)</f>
        <v>2376</v>
      </c>
      <c r="K64" s="78">
        <v>5802.9562500000002</v>
      </c>
      <c r="L64" s="78">
        <f>$G$9*('Maximum FTE allowable'!N$10*'Maximum FTE allowable'!$G$23)*('Per FTE cost'!J22/12)</f>
        <v>1614.3562500000003</v>
      </c>
      <c r="M64" s="78">
        <v>4341.3093749999989</v>
      </c>
      <c r="N64" s="78">
        <v>4537.6500000000005</v>
      </c>
      <c r="O64" s="78">
        <v>4472.203125</v>
      </c>
      <c r="P64" s="78">
        <f>$G$9*('Maximum FTE allowable'!R$11*'Maximum FTE allowable'!$G$23)*('Per FTE cost'!M22/12)</f>
        <v>2094.3000000000002</v>
      </c>
      <c r="Q64" s="78">
        <v>4322.8125</v>
      </c>
      <c r="R64" s="99">
        <v>4148.90625</v>
      </c>
    </row>
    <row r="65" spans="3:18" x14ac:dyDescent="0.2">
      <c r="C65" s="93"/>
      <c r="D65" t="s">
        <v>28</v>
      </c>
      <c r="E65" s="78">
        <v>17266.780416666668</v>
      </c>
      <c r="F65" s="78">
        <v>8169.2294444444442</v>
      </c>
      <c r="G65" s="78">
        <f>VLOOKUP(G$32,Wages!$C$6:$H$17,5,FALSE)*'Maximum FTE allowable'!I13/12*$G11</f>
        <v>10903.423125000001</v>
      </c>
      <c r="H65" s="78">
        <f>VLOOKUP(H$32,Wages!$C$6:$H$17,5,FALSE)*'Maximum FTE allowable'!J13/12*$G11</f>
        <v>8884.2706944444435</v>
      </c>
      <c r="I65" s="78">
        <f>VLOOKUP(I$32,Wages!$C$6:$H$17,5,FALSE)*'Maximum FTE allowable'!K13/12*$G11</f>
        <v>2019.1524305555554</v>
      </c>
      <c r="J65" s="78">
        <f>VLOOKUP(J$32,Wages!$C$6:$H$17,5,FALSE)*'Maximum FTE allowable'!L13/12*$G11</f>
        <v>5653.6268055555556</v>
      </c>
      <c r="K65" s="78">
        <v>12289.022666666668</v>
      </c>
      <c r="L65" s="78">
        <f>VLOOKUP(L$32,Wages!$C$6:$H$17,5,FALSE)*'Maximum FTE allowable'!N13/12*$G11</f>
        <v>3456.2876250000004</v>
      </c>
      <c r="M65" s="78">
        <v>9216.7670000000016</v>
      </c>
      <c r="N65" s="78">
        <v>9600.7989583333328</v>
      </c>
      <c r="O65" s="78">
        <v>9408.7829791666682</v>
      </c>
      <c r="P65" s="78">
        <f>VLOOKUP(P$32,Wages!$C$6:$H$17,5,FALSE)*'Maximum FTE allowable'!R13/12*$G11</f>
        <v>4800.3994791666664</v>
      </c>
      <c r="Q65" s="78">
        <v>9140.6743750000005</v>
      </c>
      <c r="R65" s="99">
        <v>8705.4041666666672</v>
      </c>
    </row>
    <row r="66" spans="3:18" x14ac:dyDescent="0.2">
      <c r="C66" s="93"/>
      <c r="D66" t="s">
        <v>30</v>
      </c>
      <c r="E66" s="78">
        <v>10274.355555555556</v>
      </c>
      <c r="F66" s="78">
        <v>4495.0305555555542</v>
      </c>
      <c r="G66" s="78">
        <f>VLOOKUP(G$32,Wages!$C$6:$H$17,6,FALSE)*'Maximum FTE allowable'!I14/12*$G12</f>
        <v>6285.1812499999987</v>
      </c>
      <c r="H66" s="78">
        <f>VLOOKUP(H$32,Wages!$C$6:$H$17,6,FALSE)*'Maximum FTE allowable'!J14/12*$G12</f>
        <v>4888.4743055555546</v>
      </c>
      <c r="I66" s="78">
        <f>VLOOKUP(I$32,Wages!$C$6:$H$17,6,FALSE)*'Maximum FTE allowable'!K14/12*$G12</f>
        <v>3491.7673611111109</v>
      </c>
      <c r="J66" s="78">
        <f>VLOOKUP(J$32,Wages!$C$6:$H$17,6,FALSE)*'Maximum FTE allowable'!L14/12*$G12</f>
        <v>3491.7673611111109</v>
      </c>
      <c r="K66" s="78">
        <v>7305.2695833333346</v>
      </c>
      <c r="L66" s="78">
        <f>VLOOKUP(L$32,Wages!$C$6:$H$17,6,FALSE)*'Maximum FTE allowable'!N14/12*$G12</f>
        <v>1992.3462500000003</v>
      </c>
      <c r="M66" s="78">
        <v>5312.9233333333341</v>
      </c>
      <c r="N66" s="78">
        <v>5312.9233333333341</v>
      </c>
      <c r="O66" s="78">
        <v>5312.9233333333341</v>
      </c>
      <c r="P66" s="78">
        <f>VLOOKUP(P$32,Wages!$C$6:$H$17,6,FALSE)*'Maximum FTE allowable'!R14/12*$G12</f>
        <v>2656.461666666667</v>
      </c>
      <c r="Q66" s="78">
        <v>5269.0604166666662</v>
      </c>
      <c r="R66" s="99">
        <v>5269.0604166666662</v>
      </c>
    </row>
    <row r="67" spans="3:18" x14ac:dyDescent="0.2">
      <c r="C67" s="93"/>
      <c r="D67" t="s">
        <v>32</v>
      </c>
      <c r="E67" s="78">
        <v>8990.0611111111084</v>
      </c>
      <c r="F67" s="78">
        <v>4495.0305555555542</v>
      </c>
      <c r="G67" s="78">
        <f>VLOOKUP(G$32,Wages!$C$6:$H$17,6,FALSE)*'Maximum FTE allowable'!I15/12*$G13</f>
        <v>5586.8277777777776</v>
      </c>
      <c r="H67" s="78">
        <f>VLOOKUP(H$32,Wages!$C$6:$H$17,6,FALSE)*'Maximum FTE allowable'!J15/12*$G13</f>
        <v>4888.4743055555546</v>
      </c>
      <c r="I67" s="78">
        <f>VLOOKUP(I$32,Wages!$C$6:$H$17,6,FALSE)*'Maximum FTE allowable'!K15/12*$G13</f>
        <v>3491.7673611111109</v>
      </c>
      <c r="J67" s="78">
        <f>VLOOKUP(J$32,Wages!$C$6:$H$17,6,FALSE)*'Maximum FTE allowable'!L15/12*$G13</f>
        <v>2793.4138888888888</v>
      </c>
      <c r="K67" s="78">
        <v>6641.1541666666672</v>
      </c>
      <c r="L67" s="78">
        <f>VLOOKUP(L$32,Wages!$C$6:$H$17,6,FALSE)*'Maximum FTE allowable'!N15/12*$G13</f>
        <v>1992.3462500000003</v>
      </c>
      <c r="M67" s="78">
        <v>4648.8079166666666</v>
      </c>
      <c r="N67" s="78">
        <v>5312.9233333333341</v>
      </c>
      <c r="O67" s="78">
        <v>5312.9233333333341</v>
      </c>
      <c r="P67" s="78">
        <f>VLOOKUP(P$32,Wages!$C$6:$H$17,6,FALSE)*'Maximum FTE allowable'!R15/12*$G13</f>
        <v>2656.461666666667</v>
      </c>
      <c r="Q67" s="78">
        <v>5269.0604166666662</v>
      </c>
      <c r="R67" s="99">
        <v>4516.3374999999996</v>
      </c>
    </row>
    <row r="68" spans="3:18" x14ac:dyDescent="0.2">
      <c r="C68" s="93"/>
      <c r="D68" t="s">
        <v>34</v>
      </c>
      <c r="E68" s="78">
        <v>8990.0611111111084</v>
      </c>
      <c r="F68" s="78">
        <v>4495.0305555555542</v>
      </c>
      <c r="G68" s="78">
        <f>VLOOKUP(G$32,Wages!$C$6:$H$17,6,FALSE)*'Maximum FTE allowable'!I16/12*$G14</f>
        <v>5586.8277777777776</v>
      </c>
      <c r="H68" s="78">
        <f>VLOOKUP(H$32,Wages!$C$6:$H$17,6,FALSE)*'Maximum FTE allowable'!J16/12*$G14</f>
        <v>4888.4743055555546</v>
      </c>
      <c r="I68" s="78">
        <f>VLOOKUP(I$32,Wages!$C$6:$H$17,6,FALSE)*'Maximum FTE allowable'!K16/12*$G14</f>
        <v>1745.8836805555554</v>
      </c>
      <c r="J68" s="78">
        <f>VLOOKUP(J$32,Wages!$C$6:$H$17,6,FALSE)*'Maximum FTE allowable'!L16/12*$G14</f>
        <v>2793.4138888888888</v>
      </c>
      <c r="K68" s="78">
        <v>6641.1541666666672</v>
      </c>
      <c r="L68" s="78">
        <f>VLOOKUP(L$32,Wages!$C$6:$H$17,6,FALSE)*'Maximum FTE allowable'!N16/12*$G14</f>
        <v>1992.3462500000003</v>
      </c>
      <c r="M68" s="78">
        <v>4648.8079166666666</v>
      </c>
      <c r="N68" s="78">
        <v>5312.9233333333341</v>
      </c>
      <c r="O68" s="78">
        <v>5312.9233333333341</v>
      </c>
      <c r="P68" s="78">
        <f>VLOOKUP(P$32,Wages!$C$6:$H$17,6,FALSE)*'Maximum FTE allowable'!R16/12*$G14</f>
        <v>2656.461666666667</v>
      </c>
      <c r="Q68" s="78">
        <v>5269.0604166666662</v>
      </c>
      <c r="R68" s="99">
        <v>4516.3374999999996</v>
      </c>
    </row>
    <row r="69" spans="3:18" x14ac:dyDescent="0.2">
      <c r="C69" s="93"/>
      <c r="D69" t="s">
        <v>36</v>
      </c>
      <c r="E69" s="78">
        <v>3852.8833333333328</v>
      </c>
      <c r="F69" s="78">
        <v>1926.4416666666664</v>
      </c>
      <c r="G69" s="78">
        <f>VLOOKUP(G$32,Wages!$C$6:$H$17,6,FALSE)*'Maximum FTE allowable'!I17/12*$G15</f>
        <v>2793.4138888888888</v>
      </c>
      <c r="H69" s="78">
        <f>VLOOKUP(H$32,Wages!$C$6:$H$17,6,FALSE)*'Maximum FTE allowable'!J17/12*$G15</f>
        <v>2095.0604166666662</v>
      </c>
      <c r="I69" s="78">
        <f>VLOOKUP(I$32,Wages!$C$6:$H$17,6,FALSE)*'Maximum FTE allowable'!K17/12*$G15</f>
        <v>1396.7069444444444</v>
      </c>
      <c r="J69" s="78">
        <f>VLOOKUP(J$32,Wages!$C$6:$H$17,6,FALSE)*'Maximum FTE allowable'!L17/12*$G15</f>
        <v>1396.7069444444444</v>
      </c>
      <c r="K69" s="78">
        <v>2656.461666666667</v>
      </c>
      <c r="L69" s="78">
        <f>VLOOKUP(L$32,Wages!$C$6:$H$17,6,FALSE)*'Maximum FTE allowable'!N17/12*$G15</f>
        <v>664.11541666666676</v>
      </c>
      <c r="M69" s="78">
        <v>1992.3462500000003</v>
      </c>
      <c r="N69" s="78">
        <v>1992.3462500000003</v>
      </c>
      <c r="O69" s="78">
        <v>1992.3462500000003</v>
      </c>
      <c r="P69" s="78">
        <f>VLOOKUP(P$32,Wages!$C$6:$H$17,6,FALSE)*'Maximum FTE allowable'!R17/12*$G15</f>
        <v>1328.2308333333335</v>
      </c>
      <c r="Q69" s="78">
        <v>2258.1687499999998</v>
      </c>
      <c r="R69" s="99">
        <v>2258.1687499999998</v>
      </c>
    </row>
    <row r="70" spans="3:18" x14ac:dyDescent="0.2">
      <c r="C70" s="93"/>
      <c r="D70" t="s">
        <v>38</v>
      </c>
      <c r="E70" s="78">
        <v>2908.0555555555552</v>
      </c>
      <c r="F70" s="78">
        <v>1403.8888888888889</v>
      </c>
      <c r="G70" s="78">
        <f>VLOOKUP(G$32,Wages!$C$6:$H$17,4,FALSE)*'Maximum FTE allowable'!I18/12*$G16</f>
        <v>1788.5416666666667</v>
      </c>
      <c r="H70" s="78">
        <f>VLOOKUP(H$32,Wages!$C$6:$H$17,4,FALSE)*'Maximum FTE allowable'!J18/12*$G16</f>
        <v>1472.9166666666667</v>
      </c>
      <c r="I70" s="78">
        <f>VLOOKUP(I$32,Wages!$C$6:$H$17,4,FALSE)*'Maximum FTE allowable'!K18/12*$G16</f>
        <v>105.20833333333333</v>
      </c>
      <c r="J70" s="78">
        <f>VLOOKUP(J$32,Wages!$C$6:$H$17,4,FALSE)*'Maximum FTE allowable'!L18/12*$G16</f>
        <v>946.875</v>
      </c>
      <c r="K70" s="78">
        <v>2045</v>
      </c>
      <c r="L70" s="78">
        <f>VLOOKUP(L$32,Wages!$C$6:$H$17,4,FALSE)*'Maximum FTE allowable'!N18/12*$G16</f>
        <v>613.5</v>
      </c>
      <c r="M70" s="78">
        <v>1533.75</v>
      </c>
      <c r="N70" s="78">
        <v>1636</v>
      </c>
      <c r="O70" s="78">
        <v>1533.75</v>
      </c>
      <c r="P70" s="78">
        <f>VLOOKUP(P$32,Wages!$C$6:$H$17,4,FALSE)*'Maximum FTE allowable'!R18/12*$G16</f>
        <v>818</v>
      </c>
      <c r="Q70" s="78">
        <v>1451.6666666666667</v>
      </c>
      <c r="R70" s="99">
        <v>1451.6666666666667</v>
      </c>
    </row>
    <row r="71" spans="3:18" x14ac:dyDescent="0.2">
      <c r="C71" s="93"/>
      <c r="D71" s="139" t="s">
        <v>185</v>
      </c>
      <c r="E71" s="140">
        <v>28651.259125</v>
      </c>
      <c r="F71" s="140">
        <v>13641.023624999998</v>
      </c>
      <c r="G71" s="140">
        <f t="shared" ref="G71" si="14">SUM(G63:G70)*0.3</f>
        <v>17385.910479166665</v>
      </c>
      <c r="H71" s="140">
        <f t="shared" ref="H71" si="15">SUM(H63:H70)*0.3</f>
        <v>14234.226208333328</v>
      </c>
      <c r="I71" s="140">
        <f t="shared" ref="I71" si="16">SUM(I63:I70)*0.3</f>
        <v>4207.5916666666662</v>
      </c>
      <c r="J71" s="140">
        <f t="shared" ref="J71" si="17">SUM(J63:J70)*0.3</f>
        <v>9310.806791666666</v>
      </c>
      <c r="K71" s="140">
        <v>20527.974300000002</v>
      </c>
      <c r="L71" s="140">
        <f t="shared" ref="L71:O71" si="18">SUM(L63:L70)*0.3</f>
        <v>5656.0394125000012</v>
      </c>
      <c r="M71" s="140">
        <f t="shared" si="18"/>
        <v>15129.541662499998</v>
      </c>
      <c r="N71" s="140">
        <f t="shared" si="18"/>
        <v>15987.0195625</v>
      </c>
      <c r="O71" s="140">
        <f t="shared" si="18"/>
        <v>15794.365081249998</v>
      </c>
      <c r="P71" s="140">
        <f t="shared" ref="P71" si="19">SUM(P63:P70)*0.3</f>
        <v>7814.794593749999</v>
      </c>
      <c r="Q71" s="140">
        <f>SUM(Q63:Q70)*0.3</f>
        <v>15464.869812499999</v>
      </c>
      <c r="R71" s="141">
        <f>SUM(R63:R70)*0.3</f>
        <v>14606.373749999999</v>
      </c>
    </row>
    <row r="72" spans="3:18" ht="13.5" thickBot="1" x14ac:dyDescent="0.25">
      <c r="C72" s="101"/>
      <c r="D72" s="136" t="s">
        <v>214</v>
      </c>
      <c r="E72" s="137">
        <v>124155.45620833333</v>
      </c>
      <c r="F72" s="137">
        <v>59111.102374999988</v>
      </c>
      <c r="G72" s="137">
        <f t="shared" ref="G72:P72" si="20">SUM(G63:G71)</f>
        <v>75338.945409722219</v>
      </c>
      <c r="H72" s="137">
        <f t="shared" si="20"/>
        <v>61681.646902777757</v>
      </c>
      <c r="I72" s="137">
        <f t="shared" si="20"/>
        <v>18232.897222222222</v>
      </c>
      <c r="J72" s="137">
        <f t="shared" si="20"/>
        <v>40346.829430555554</v>
      </c>
      <c r="K72" s="137">
        <v>88954.555300000007</v>
      </c>
      <c r="L72" s="137">
        <f t="shared" si="20"/>
        <v>24509.504120833339</v>
      </c>
      <c r="M72" s="137">
        <f t="shared" si="20"/>
        <v>65561.347204166654</v>
      </c>
      <c r="N72" s="137">
        <f t="shared" si="20"/>
        <v>69277.084770833331</v>
      </c>
      <c r="O72" s="137">
        <f t="shared" si="20"/>
        <v>68442.248685416664</v>
      </c>
      <c r="P72" s="137">
        <f t="shared" si="20"/>
        <v>33864.10990625</v>
      </c>
      <c r="Q72" s="137">
        <f>SUM(Q63:Q71)</f>
        <v>67014.435854166659</v>
      </c>
      <c r="R72" s="138">
        <f t="shared" ref="R72" si="21">SUM(R63:R71)</f>
        <v>63294.286249999997</v>
      </c>
    </row>
  </sheetData>
  <mergeCells count="1">
    <mergeCell ref="P20:Q20"/>
  </mergeCells>
  <phoneticPr fontId="1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7096-F642-4FB4-B6EB-9BB4E37F1B8C}">
  <sheetPr>
    <tabColor theme="9" tint="0.79998168889431442"/>
  </sheetPr>
  <dimension ref="E3:T44"/>
  <sheetViews>
    <sheetView tabSelected="1" zoomScale="85" zoomScaleNormal="85" workbookViewId="0">
      <selection activeCell="S4" sqref="S4"/>
    </sheetView>
  </sheetViews>
  <sheetFormatPr defaultRowHeight="12.75" x14ac:dyDescent="0.2"/>
  <cols>
    <col min="6" max="6" width="23.28515625" customWidth="1"/>
    <col min="7" max="7" width="18.42578125" customWidth="1"/>
    <col min="8" max="8" width="11.85546875" bestFit="1" customWidth="1"/>
    <col min="9" max="9" width="9.85546875" bestFit="1" customWidth="1"/>
    <col min="10" max="10" width="10.42578125" bestFit="1" customWidth="1"/>
    <col min="11" max="11" width="15.140625" customWidth="1"/>
    <col min="12" max="12" width="14.85546875" bestFit="1" customWidth="1"/>
    <col min="13" max="13" width="9.7109375" bestFit="1" customWidth="1"/>
    <col min="14" max="14" width="10.140625" bestFit="1" customWidth="1"/>
    <col min="15" max="15" width="10.28515625" bestFit="1" customWidth="1"/>
    <col min="16" max="16" width="12.28515625" bestFit="1" customWidth="1"/>
    <col min="17" max="17" width="10.28515625" bestFit="1" customWidth="1"/>
    <col min="18" max="18" width="10.85546875" bestFit="1" customWidth="1"/>
    <col min="19" max="19" width="11.28515625" bestFit="1" customWidth="1"/>
    <col min="20" max="20" width="11.7109375" bestFit="1" customWidth="1"/>
  </cols>
  <sheetData>
    <row r="3" spans="5:20" ht="26.25" customHeight="1" x14ac:dyDescent="0.2"/>
    <row r="4" spans="5:20" ht="26.25" customHeight="1" x14ac:dyDescent="0.2">
      <c r="E4" s="125"/>
      <c r="F4" s="17"/>
    </row>
    <row r="5" spans="5:20" x14ac:dyDescent="0.2">
      <c r="G5" s="17"/>
    </row>
    <row r="7" spans="5:20" ht="13.5" thickBot="1" x14ac:dyDescent="0.25"/>
    <row r="8" spans="5:20" ht="34.5" customHeight="1" x14ac:dyDescent="0.3">
      <c r="F8" s="305" t="s">
        <v>280</v>
      </c>
      <c r="G8" s="306"/>
      <c r="H8" s="306"/>
      <c r="I8" s="306"/>
      <c r="J8" s="306"/>
      <c r="K8" s="306"/>
      <c r="L8" s="306"/>
      <c r="M8" s="306"/>
      <c r="N8" s="306"/>
      <c r="O8" s="306"/>
      <c r="P8" s="306"/>
      <c r="Q8" s="306"/>
      <c r="R8" s="306"/>
      <c r="S8" s="306"/>
      <c r="T8" s="307"/>
    </row>
    <row r="9" spans="5:20" ht="15" x14ac:dyDescent="0.25">
      <c r="F9" s="93"/>
      <c r="G9" s="128" t="s">
        <v>69</v>
      </c>
      <c r="H9" s="95" t="s">
        <v>70</v>
      </c>
      <c r="I9" s="96" t="s">
        <v>71</v>
      </c>
      <c r="J9" s="96" t="s">
        <v>72</v>
      </c>
      <c r="K9" s="129" t="s">
        <v>179</v>
      </c>
      <c r="L9" s="96" t="s">
        <v>113</v>
      </c>
      <c r="M9" s="97" t="s">
        <v>75</v>
      </c>
      <c r="N9" s="97" t="s">
        <v>76</v>
      </c>
      <c r="O9" s="97" t="s">
        <v>241</v>
      </c>
      <c r="P9" s="97" t="s">
        <v>240</v>
      </c>
      <c r="Q9" s="97" t="s">
        <v>78</v>
      </c>
      <c r="R9" s="97" t="s">
        <v>79</v>
      </c>
      <c r="S9" s="127" t="s">
        <v>111</v>
      </c>
      <c r="T9" s="130" t="s">
        <v>112</v>
      </c>
    </row>
    <row r="10" spans="5:20" x14ac:dyDescent="0.2">
      <c r="F10" s="131" t="s">
        <v>18</v>
      </c>
      <c r="G10" s="67">
        <f>ROUND('Maximum FTE allowable'!G35/AVERAGE('Rate Assumption '!$C$28:$C$34),1)*$G$22</f>
        <v>18.600000000000001</v>
      </c>
      <c r="H10" s="67">
        <f>ROUND('Maximum FTE allowable'!H35/AVERAGE('Rate Assumption '!$C$28:$C$34),1)*$G$22</f>
        <v>7.4250000000000007</v>
      </c>
      <c r="I10" s="67">
        <f>ROUND('Maximum FTE allowable'!I35/AVERAGE('Rate Assumption '!$C$28:$C$34),1)*$G$22</f>
        <v>16.649999999999999</v>
      </c>
      <c r="J10" s="67">
        <f>ROUND('Maximum FTE allowable'!J35/AVERAGE('Rate Assumption '!$C$28:$C$34),1)*$G$22</f>
        <v>13.575000000000001</v>
      </c>
      <c r="K10" s="67">
        <f>ROUND('Maximum FTE allowable'!K35/AVERAGE('Rate Assumption '!$C$28:$C$34),1)*$G$22</f>
        <v>1.2000000000000002</v>
      </c>
      <c r="L10" s="67">
        <f>ROUND('Maximum FTE allowable'!L35/AVERAGE('Rate Assumption '!$C$28:$C$34),1)*$G$22</f>
        <v>8.7749999999999986</v>
      </c>
      <c r="M10" s="67">
        <f>ROUND('Maximum FTE allowable'!M35/AVERAGE('Rate Assumption '!$C$28:$C$34),1)*$G$22</f>
        <v>16.575000000000003</v>
      </c>
      <c r="N10" s="67">
        <f>ROUND('Maximum FTE allowable'!N35/AVERAGE('Rate Assumption '!$C$28:$C$34),1)*$G$22</f>
        <v>5.5500000000000007</v>
      </c>
      <c r="O10" s="67">
        <f>ROUND('Maximum FTE allowable'!O35/AVERAGE('Rate Assumption '!$C$28:$C$34),1)*$G$22</f>
        <v>11.399999999999999</v>
      </c>
      <c r="P10" s="67">
        <f>ROUND('Maximum FTE allowable'!P35/AVERAGE('Rate Assumption '!$C$28:$C$34),1)*$G$22</f>
        <v>10.125</v>
      </c>
      <c r="Q10" s="67">
        <f>ROUND('Maximum FTE allowable'!Q35/AVERAGE('Rate Assumption '!$C$28:$C$34),1)*$G$22</f>
        <v>10.725000000000001</v>
      </c>
      <c r="R10" s="67">
        <f>ROUND('Maximum FTE allowable'!R35/AVERAGE('Rate Assumption '!$C$28:$C$34),1)*$G$22</f>
        <v>7.7250000000000005</v>
      </c>
      <c r="S10" s="67">
        <f>ROUND('Maximum FTE allowable'!S35/AVERAGE('Rate Assumption '!$C$28:$C$34),1)*$G$22</f>
        <v>8.25</v>
      </c>
      <c r="T10" s="316">
        <f>ROUND('Maximum FTE allowable'!T35/AVERAGE('Rate Assumption '!$C$28:$C$34),1)*$G$22</f>
        <v>11.7</v>
      </c>
    </row>
    <row r="11" spans="5:20" x14ac:dyDescent="0.2">
      <c r="F11" s="131" t="s">
        <v>15</v>
      </c>
      <c r="G11" s="67" cm="1">
        <f t="array" ref="G11">ROUND((AVERAGE(('Fee Table'!$D$67:$D$71)*1.5)*'Maximum FTE allowable'!G$35*'Maximum FTE allowable'!$G$23)/(2080/12),1)</f>
        <v>17.3</v>
      </c>
      <c r="H11" s="67" cm="1">
        <f t="array" ref="H11">ROUND((AVERAGE(('Fee Table'!$D$67:$D$71)*1.5)*'Maximum FTE allowable'!H$35*'Maximum FTE allowable'!$G$23)/(2080/12),1)</f>
        <v>6.9</v>
      </c>
      <c r="I11" s="67" cm="1">
        <f t="array" ref="I11">ROUND((AVERAGE(('Fee Table'!$D$67:$D$71)*1.5)*'Maximum FTE allowable'!I$35*'Maximum FTE allowable'!$G$23)/(2080/12),1)</f>
        <v>15.5</v>
      </c>
      <c r="J11" s="67" cm="1">
        <f t="array" ref="J11">ROUND((AVERAGE(('Fee Table'!$D$67:$D$71)*1.5)*'Maximum FTE allowable'!J$35*'Maximum FTE allowable'!$G$23)/(2080/12),1)</f>
        <v>12.6</v>
      </c>
      <c r="K11" s="67" cm="1">
        <f t="array" ref="K11">ROUND((AVERAGE(('Fee Table'!$D$67:$D$71)*1.5)*'Maximum FTE allowable'!K$35*'Maximum FTE allowable'!$G$23)/(2080/12),1)</f>
        <v>1.1000000000000001</v>
      </c>
      <c r="L11" s="67" cm="1">
        <f t="array" ref="L11">ROUND((AVERAGE(('Fee Table'!$D$67:$D$71)*1.5)*'Maximum FTE allowable'!L$35*'Maximum FTE allowable'!$G$23)/(2080/12),1)</f>
        <v>8.1</v>
      </c>
      <c r="M11" s="67" cm="1">
        <f t="array" ref="M11">ROUND((AVERAGE(('Fee Table'!$D$67:$D$71)*1.5)*'Maximum FTE allowable'!M$35*'Maximum FTE allowable'!$G$23)/(2080/12),1)</f>
        <v>15.5</v>
      </c>
      <c r="N11" s="67" cm="1">
        <f t="array" ref="N11">ROUND((AVERAGE(('Fee Table'!$D$67:$D$71)*1.5)*'Maximum FTE allowable'!N$35*'Maximum FTE allowable'!$G$23)/(2080/12),1)</f>
        <v>5.2</v>
      </c>
      <c r="O11" s="67" cm="1">
        <f t="array" ref="O11">ROUND((AVERAGE(('Fee Table'!$D$67:$D$71)*1.5)*'Maximum FTE allowable'!O$35*'Maximum FTE allowable'!$G$23)/(2080/12),1)</f>
        <v>10.6</v>
      </c>
      <c r="P11" s="67" cm="1">
        <f t="array" ref="P11">ROUND((AVERAGE(('Fee Table'!$D$67:$D$71)*1.5)*'Maximum FTE allowable'!P$35*'Maximum FTE allowable'!$G$23)/(2080/12),1)</f>
        <v>9.4</v>
      </c>
      <c r="Q11" s="67" cm="1">
        <f t="array" ref="Q11">ROUND((AVERAGE(('Fee Table'!$D$67:$D$71)*1.5)*'Maximum FTE allowable'!Q$35*'Maximum FTE allowable'!$G$23)/(2080/12),1)</f>
        <v>10</v>
      </c>
      <c r="R11" s="67" cm="1">
        <f t="array" ref="R11">ROUND((AVERAGE(('Fee Table'!$D$67:$D$71)*1.5)*'Maximum FTE allowable'!R$35*'Maximum FTE allowable'!$G$23)/(2080/12),1)</f>
        <v>7.2</v>
      </c>
      <c r="S11" s="67" cm="1">
        <f t="array" ref="S11">ROUND((AVERAGE(('Fee Table'!$D$67:$D$71)*1.5)*'Maximum FTE allowable'!S$35*'Maximum FTE allowable'!$G$23)/(2080/12),1)</f>
        <v>7.7</v>
      </c>
      <c r="T11" s="316" cm="1">
        <f t="array" ref="T11">ROUND((AVERAGE(('Fee Table'!$D$67:$D$71)*1.5)*'Maximum FTE allowable'!T$35*'Maximum FTE allowable'!$G$23)/(2080/12),1)</f>
        <v>10.9</v>
      </c>
    </row>
    <row r="12" spans="5:20" ht="7.5" customHeight="1" x14ac:dyDescent="0.2">
      <c r="F12" s="131"/>
      <c r="G12" s="111"/>
      <c r="H12" s="111"/>
      <c r="I12" s="111"/>
      <c r="J12" s="111"/>
      <c r="K12" s="111"/>
      <c r="L12" s="111"/>
      <c r="M12" s="111"/>
      <c r="N12" s="111"/>
      <c r="O12" s="111"/>
      <c r="P12" s="111"/>
      <c r="Q12" s="111"/>
      <c r="R12" s="111"/>
      <c r="S12" s="111"/>
      <c r="T12" s="163"/>
    </row>
    <row r="13" spans="5:20" hidden="1" x14ac:dyDescent="0.2">
      <c r="F13" s="98" t="s">
        <v>180</v>
      </c>
      <c r="G13" s="3">
        <f>ROUND(SUM(G10:G11)/'Rate Assumption '!C43,1)</f>
        <v>6</v>
      </c>
      <c r="H13" s="3">
        <f>ROUND(SUM(H10:H11)/6,1)</f>
        <v>2.4</v>
      </c>
      <c r="I13" s="3">
        <f>ROUND(SUM(I10:I11)/6,1)</f>
        <v>5.4</v>
      </c>
      <c r="J13" s="3">
        <f>ROUND(SUM(J10:J11)/6,1)</f>
        <v>4.4000000000000004</v>
      </c>
      <c r="K13" s="3">
        <v>1</v>
      </c>
      <c r="L13" s="3">
        <f t="shared" ref="L13:T13" si="0">ROUND(SUM(L10:L11)/6,1)</f>
        <v>2.8</v>
      </c>
      <c r="M13" s="3">
        <f t="shared" si="0"/>
        <v>5.3</v>
      </c>
      <c r="N13" s="3">
        <f t="shared" si="0"/>
        <v>1.8</v>
      </c>
      <c r="O13" s="3">
        <f t="shared" si="0"/>
        <v>3.7</v>
      </c>
      <c r="P13" s="3">
        <f t="shared" si="0"/>
        <v>3.3</v>
      </c>
      <c r="Q13" s="3">
        <f t="shared" si="0"/>
        <v>3.5</v>
      </c>
      <c r="R13" s="3">
        <f t="shared" si="0"/>
        <v>2.5</v>
      </c>
      <c r="S13" s="3">
        <f t="shared" si="0"/>
        <v>2.7</v>
      </c>
      <c r="T13" s="132">
        <f t="shared" si="0"/>
        <v>3.8</v>
      </c>
    </row>
    <row r="14" spans="5:20" hidden="1" x14ac:dyDescent="0.2">
      <c r="F14" s="93" t="s">
        <v>30</v>
      </c>
      <c r="G14" s="3">
        <f>ROUND(SUM(G13)/'Rate Assumption '!$C$45,1)</f>
        <v>1</v>
      </c>
      <c r="H14" s="3">
        <f>ROUND(SUM(H13)/'Rate Assumption '!$C$45,1)</f>
        <v>0.4</v>
      </c>
      <c r="I14" s="3">
        <f>ROUND(SUM(I13)/'Rate Assumption '!$C$45,1)</f>
        <v>0.9</v>
      </c>
      <c r="J14" s="3">
        <f>ROUND(SUM(J13)/'Rate Assumption '!$C$45,1)</f>
        <v>0.7</v>
      </c>
      <c r="K14" s="3">
        <v>0.5</v>
      </c>
      <c r="L14" s="3">
        <f>ROUND(SUM(L13)/'Rate Assumption '!$C$45,1)</f>
        <v>0.5</v>
      </c>
      <c r="M14" s="3">
        <f>ROUND(SUM(M13)/'Rate Assumption '!$C$45,1)</f>
        <v>0.9</v>
      </c>
      <c r="N14" s="3">
        <f>ROUND(SUM(N13)/'Rate Assumption '!$C$45,1)</f>
        <v>0.3</v>
      </c>
      <c r="O14" s="3">
        <f>ROUND(SUM(O13)/'Rate Assumption '!$C$45,1)</f>
        <v>0.6</v>
      </c>
      <c r="P14" s="3">
        <f>ROUND(SUM(P13)/'Rate Assumption '!$C$45,1)</f>
        <v>0.6</v>
      </c>
      <c r="Q14" s="3">
        <f>ROUND(SUM(Q13)/'Rate Assumption '!$C$45,1)</f>
        <v>0.6</v>
      </c>
      <c r="R14" s="3">
        <f>ROUND(SUM(R13)/'Rate Assumption '!$C$45,1)</f>
        <v>0.4</v>
      </c>
      <c r="S14" s="3">
        <f>ROUND(SUM(S13)/'Rate Assumption '!$C$45,1)</f>
        <v>0.5</v>
      </c>
      <c r="T14" s="132">
        <f>ROUND(SUM(T13)/'Rate Assumption '!$C$45,1)</f>
        <v>0.6</v>
      </c>
    </row>
    <row r="15" spans="5:20" hidden="1" x14ac:dyDescent="0.2">
      <c r="F15" s="93" t="s">
        <v>32</v>
      </c>
      <c r="G15" s="3">
        <f>ROUND(G10*'Rate Assumption '!$C$47,1)</f>
        <v>0.9</v>
      </c>
      <c r="H15" s="3">
        <f>ROUND(H10*'Rate Assumption '!$C$47,1)</f>
        <v>0.4</v>
      </c>
      <c r="I15" s="3">
        <f>ROUND(I10*'Rate Assumption '!$C$47,1)</f>
        <v>0.8</v>
      </c>
      <c r="J15" s="3">
        <f>ROUND(J10*'Rate Assumption '!$C$47,1)</f>
        <v>0.7</v>
      </c>
      <c r="K15" s="3">
        <v>0.5</v>
      </c>
      <c r="L15" s="3">
        <f>ROUND(L10*'Rate Assumption '!$C$47,1)</f>
        <v>0.4</v>
      </c>
      <c r="M15" s="3">
        <f>ROUND(M10*'Rate Assumption '!$C$47,1)</f>
        <v>0.8</v>
      </c>
      <c r="N15" s="3">
        <f>ROUND(N10*'Rate Assumption '!$C$47,1)</f>
        <v>0.3</v>
      </c>
      <c r="O15" s="3">
        <f>ROUND(O10*'Rate Assumption '!$C$47,1)</f>
        <v>0.6</v>
      </c>
      <c r="P15" s="3">
        <f>ROUND(P10*'Rate Assumption '!$C$47,1)</f>
        <v>0.5</v>
      </c>
      <c r="Q15" s="3">
        <f>ROUND(Q10*'Rate Assumption '!$C$47,1)</f>
        <v>0.5</v>
      </c>
      <c r="R15" s="3">
        <f>ROUND(R10*'Rate Assumption '!$C$47,1)</f>
        <v>0.4</v>
      </c>
      <c r="S15" s="3">
        <f>ROUND(S10*'Rate Assumption '!$C$47,1)</f>
        <v>0.4</v>
      </c>
      <c r="T15" s="132">
        <f>ROUND(T10*'Rate Assumption '!$C$47,1)</f>
        <v>0.6</v>
      </c>
    </row>
    <row r="16" spans="5:20" hidden="1" x14ac:dyDescent="0.2">
      <c r="F16" s="93" t="s">
        <v>34</v>
      </c>
      <c r="G16" s="3">
        <f>ROUND(G10*'Rate Assumption '!$C$46,1)</f>
        <v>0.9</v>
      </c>
      <c r="H16" s="3">
        <f>ROUND(H10*'Rate Assumption '!$C$46,1)</f>
        <v>0.4</v>
      </c>
      <c r="I16" s="3">
        <f>ROUND(I10*'Rate Assumption '!$C$46,1)</f>
        <v>0.8</v>
      </c>
      <c r="J16" s="3">
        <f>ROUND(J10*'Rate Assumption '!$C$46,1)</f>
        <v>0.7</v>
      </c>
      <c r="K16" s="3">
        <v>0.25</v>
      </c>
      <c r="L16" s="3">
        <f>ROUND(L10*'Rate Assumption '!$C$46,1)</f>
        <v>0.4</v>
      </c>
      <c r="M16" s="3">
        <f>ROUND(M10*'Rate Assumption '!$C$46,1)</f>
        <v>0.8</v>
      </c>
      <c r="N16" s="3">
        <f>ROUND(N10*'Rate Assumption '!$C$46,1)</f>
        <v>0.3</v>
      </c>
      <c r="O16" s="3">
        <f>ROUND(O10*'Rate Assumption '!$C$46,1)</f>
        <v>0.6</v>
      </c>
      <c r="P16" s="3">
        <f>ROUND(P10*'Rate Assumption '!$C$46,1)</f>
        <v>0.5</v>
      </c>
      <c r="Q16" s="3">
        <f>ROUND(Q10*'Rate Assumption '!$C$46,1)</f>
        <v>0.5</v>
      </c>
      <c r="R16" s="3">
        <f>ROUND(R10*'Rate Assumption '!$C$46,1)</f>
        <v>0.4</v>
      </c>
      <c r="S16" s="3">
        <f>ROUND(S10*'Rate Assumption '!$C$46,1)</f>
        <v>0.4</v>
      </c>
      <c r="T16" s="132">
        <f>ROUND(T10*'Rate Assumption '!$C$46,1)</f>
        <v>0.6</v>
      </c>
    </row>
    <row r="17" spans="5:20" hidden="1" x14ac:dyDescent="0.2">
      <c r="F17" s="93" t="s">
        <v>36</v>
      </c>
      <c r="G17" s="3">
        <f>ROUND(G14/'Rate Assumption '!$C$48,1)</f>
        <v>0.4</v>
      </c>
      <c r="H17" s="3">
        <f>ROUND(H14/'Rate Assumption '!$C$48,1)</f>
        <v>0.2</v>
      </c>
      <c r="I17" s="3">
        <f>ROUND(I14/'Rate Assumption '!$C$48,1)</f>
        <v>0.4</v>
      </c>
      <c r="J17" s="3">
        <f>ROUND(J14/'Rate Assumption '!$C$48,1)</f>
        <v>0.3</v>
      </c>
      <c r="K17" s="3">
        <f>ROUND(K14/'Rate Assumption '!$C$48,1)</f>
        <v>0.2</v>
      </c>
      <c r="L17" s="3">
        <f>ROUND(L14/'Rate Assumption '!$C$48,1)</f>
        <v>0.2</v>
      </c>
      <c r="M17" s="3">
        <f>ROUND(M14/'Rate Assumption '!$C$48,1)</f>
        <v>0.4</v>
      </c>
      <c r="N17" s="3">
        <f>ROUND(N14/'Rate Assumption '!$C$48,1)</f>
        <v>0.1</v>
      </c>
      <c r="O17" s="3">
        <f>ROUND(O14/'Rate Assumption '!$C$48,1)</f>
        <v>0.2</v>
      </c>
      <c r="P17" s="3">
        <f>ROUND(P14/'Rate Assumption '!$C$48,1)</f>
        <v>0.2</v>
      </c>
      <c r="Q17" s="3">
        <f>ROUND(Q14/'Rate Assumption '!$C$48,1)</f>
        <v>0.2</v>
      </c>
      <c r="R17" s="3">
        <f>ROUND(R14/'Rate Assumption '!$C$48,1)</f>
        <v>0.2</v>
      </c>
      <c r="S17" s="3">
        <f>ROUND(S14/'Rate Assumption '!$C$48,1)</f>
        <v>0.2</v>
      </c>
      <c r="T17" s="132">
        <f>ROUND(T14/'Rate Assumption '!$C$48,1)</f>
        <v>0.2</v>
      </c>
    </row>
    <row r="18" spans="5:20" ht="12.75" customHeight="1" x14ac:dyDescent="0.2">
      <c r="F18" s="93" t="s">
        <v>38</v>
      </c>
      <c r="G18" s="3">
        <f>ROUND(G10/'Rate Assumption '!$C$49,1)</f>
        <v>1.9</v>
      </c>
      <c r="H18" s="3">
        <f>ROUND(H10/'Rate Assumption '!$C$49,1)</f>
        <v>0.7</v>
      </c>
      <c r="I18" s="3">
        <f>ROUND(I10/'Rate Assumption '!$C$49,1)</f>
        <v>1.7</v>
      </c>
      <c r="J18" s="3">
        <f>ROUND(J10/'Rate Assumption '!$C$49,1)</f>
        <v>1.4</v>
      </c>
      <c r="K18" s="3">
        <f>ROUND(K10/'Rate Assumption '!$C$49,1)</f>
        <v>0.1</v>
      </c>
      <c r="L18" s="3">
        <f>ROUND(L10/'Rate Assumption '!$C$49,1)</f>
        <v>0.9</v>
      </c>
      <c r="M18" s="3">
        <f>ROUND(M10/'Rate Assumption '!$C$49,1)</f>
        <v>1.7</v>
      </c>
      <c r="N18" s="3">
        <f>ROUND(N10/'Rate Assumption '!$C$49,1)</f>
        <v>0.6</v>
      </c>
      <c r="O18" s="3">
        <f>ROUND(O10/'Rate Assumption '!$C$49,1)</f>
        <v>1.1000000000000001</v>
      </c>
      <c r="P18" s="3">
        <f>ROUND(P10/'Rate Assumption '!$C$49,1)</f>
        <v>1</v>
      </c>
      <c r="Q18" s="3">
        <f>ROUND(Q10/'Rate Assumption '!$C$49,1)</f>
        <v>1.1000000000000001</v>
      </c>
      <c r="R18" s="3">
        <f>ROUND(R10/'Rate Assumption '!$C$49,1)</f>
        <v>0.8</v>
      </c>
      <c r="S18" s="3">
        <f>ROUND(S10/'Rate Assumption '!$C$49,1)</f>
        <v>0.8</v>
      </c>
      <c r="T18" s="132">
        <f>ROUND(T10/'Rate Assumption '!$C$49,1)</f>
        <v>1.2</v>
      </c>
    </row>
    <row r="19" spans="5:20" x14ac:dyDescent="0.2">
      <c r="F19" s="93"/>
      <c r="T19" s="94"/>
    </row>
    <row r="20" spans="5:20" x14ac:dyDescent="0.2">
      <c r="F20" s="93"/>
      <c r="T20" s="94"/>
    </row>
    <row r="21" spans="5:20" x14ac:dyDescent="0.2">
      <c r="F21" s="375" t="s">
        <v>247</v>
      </c>
      <c r="G21" s="376"/>
      <c r="H21" s="377"/>
      <c r="T21" s="94"/>
    </row>
    <row r="22" spans="5:20" x14ac:dyDescent="0.2">
      <c r="F22" s="98" t="s">
        <v>177</v>
      </c>
      <c r="G22" s="346">
        <v>0.75</v>
      </c>
      <c r="H22" s="36"/>
      <c r="T22" s="94"/>
    </row>
    <row r="23" spans="5:20" x14ac:dyDescent="0.2">
      <c r="F23" s="98" t="s">
        <v>178</v>
      </c>
      <c r="G23" s="346">
        <v>0.3</v>
      </c>
      <c r="H23" s="36"/>
      <c r="T23" s="94"/>
    </row>
    <row r="24" spans="5:20" x14ac:dyDescent="0.2">
      <c r="F24" s="98"/>
      <c r="G24" s="125"/>
      <c r="H24" s="36"/>
      <c r="T24" s="94"/>
    </row>
    <row r="25" spans="5:20" x14ac:dyDescent="0.2">
      <c r="F25" s="261" t="s">
        <v>279</v>
      </c>
      <c r="G25" s="259"/>
      <c r="H25" s="260"/>
      <c r="T25" s="94"/>
    </row>
    <row r="26" spans="5:20" ht="13.5" thickBot="1" x14ac:dyDescent="0.25">
      <c r="F26" s="101"/>
      <c r="G26" s="122"/>
      <c r="H26" s="122"/>
      <c r="I26" s="122"/>
      <c r="J26" s="122"/>
      <c r="K26" s="122"/>
      <c r="L26" s="122"/>
      <c r="M26" s="122"/>
      <c r="N26" s="122"/>
      <c r="O26" s="122"/>
      <c r="P26" s="122"/>
      <c r="Q26" s="122"/>
      <c r="R26" s="122"/>
      <c r="S26" s="122"/>
      <c r="T26" s="124"/>
    </row>
    <row r="29" spans="5:20" ht="13.5" thickBot="1" x14ac:dyDescent="0.25"/>
    <row r="30" spans="5:20" ht="30.75" customHeight="1" x14ac:dyDescent="0.25">
      <c r="E30" s="264"/>
      <c r="F30" s="359" t="s">
        <v>274</v>
      </c>
      <c r="G30" s="112"/>
      <c r="H30" s="308"/>
      <c r="I30" s="308"/>
      <c r="J30" s="308"/>
      <c r="K30" s="308"/>
      <c r="L30" s="308"/>
      <c r="M30" s="308"/>
      <c r="N30" s="308"/>
      <c r="O30" s="308"/>
      <c r="P30" s="308"/>
      <c r="Q30" s="308"/>
      <c r="R30" s="308"/>
      <c r="S30" s="308"/>
      <c r="T30" s="309"/>
    </row>
    <row r="31" spans="5:20" ht="30.75" customHeight="1" x14ac:dyDescent="0.2">
      <c r="E31" s="240"/>
      <c r="F31" s="310"/>
      <c r="G31" s="311"/>
      <c r="H31" s="311"/>
      <c r="I31" s="311"/>
      <c r="J31" s="311"/>
      <c r="K31" s="311"/>
      <c r="L31" s="311"/>
      <c r="M31" s="311"/>
      <c r="N31" s="311"/>
      <c r="O31" s="311"/>
      <c r="P31" s="311"/>
      <c r="Q31" s="311"/>
      <c r="R31" s="311"/>
      <c r="S31" s="311"/>
      <c r="T31" s="312"/>
    </row>
    <row r="32" spans="5:20" s="164" customFormat="1" ht="26.25" x14ac:dyDescent="0.25">
      <c r="F32" s="262" t="s">
        <v>248</v>
      </c>
      <c r="G32" s="265" t="s">
        <v>69</v>
      </c>
      <c r="H32" s="250" t="s">
        <v>70</v>
      </c>
      <c r="I32" s="251" t="s">
        <v>71</v>
      </c>
      <c r="J32" s="251" t="s">
        <v>72</v>
      </c>
      <c r="K32" s="252" t="s">
        <v>73</v>
      </c>
      <c r="L32" s="251" t="s">
        <v>113</v>
      </c>
      <c r="M32" s="253" t="s">
        <v>75</v>
      </c>
      <c r="N32" s="253" t="s">
        <v>76</v>
      </c>
      <c r="O32" s="253" t="s">
        <v>241</v>
      </c>
      <c r="P32" s="253" t="s">
        <v>240</v>
      </c>
      <c r="Q32" s="253" t="s">
        <v>78</v>
      </c>
      <c r="R32" s="253" t="s">
        <v>79</v>
      </c>
      <c r="S32" s="249" t="s">
        <v>111</v>
      </c>
      <c r="T32" s="313" t="s">
        <v>112</v>
      </c>
    </row>
    <row r="33" spans="6:20" x14ac:dyDescent="0.2">
      <c r="F33" s="314">
        <v>45292</v>
      </c>
      <c r="G33" s="111">
        <v>708</v>
      </c>
      <c r="H33" s="111">
        <v>335</v>
      </c>
      <c r="I33" s="111">
        <v>558</v>
      </c>
      <c r="J33" s="111">
        <v>380</v>
      </c>
      <c r="K33" s="111">
        <v>67</v>
      </c>
      <c r="L33" s="111">
        <v>238</v>
      </c>
      <c r="M33" s="111">
        <v>491</v>
      </c>
      <c r="N33" s="111">
        <v>248</v>
      </c>
      <c r="O33" s="111">
        <v>366</v>
      </c>
      <c r="P33" s="111">
        <v>383</v>
      </c>
      <c r="Q33" s="111">
        <v>378</v>
      </c>
      <c r="R33" s="111">
        <v>217</v>
      </c>
      <c r="S33" s="111">
        <v>320</v>
      </c>
      <c r="T33" s="163">
        <v>308</v>
      </c>
    </row>
    <row r="34" spans="6:20" x14ac:dyDescent="0.2">
      <c r="F34" s="315" t="s">
        <v>277</v>
      </c>
      <c r="G34" s="3">
        <v>438</v>
      </c>
      <c r="H34" s="3">
        <v>178</v>
      </c>
      <c r="I34" s="3">
        <v>408</v>
      </c>
      <c r="J34" s="3">
        <v>349</v>
      </c>
      <c r="K34" s="3">
        <v>26</v>
      </c>
      <c r="L34" s="3">
        <v>211</v>
      </c>
      <c r="M34" s="3">
        <v>443</v>
      </c>
      <c r="N34" s="3">
        <v>151</v>
      </c>
      <c r="O34" s="3">
        <v>263</v>
      </c>
      <c r="P34" s="3">
        <v>245</v>
      </c>
      <c r="Q34" s="3">
        <v>256</v>
      </c>
      <c r="R34" s="3">
        <v>191</v>
      </c>
      <c r="S34" s="3">
        <v>201</v>
      </c>
      <c r="T34" s="163">
        <v>284</v>
      </c>
    </row>
    <row r="35" spans="6:20" x14ac:dyDescent="0.2">
      <c r="F35" s="314">
        <v>45687</v>
      </c>
      <c r="G35" s="3">
        <v>457</v>
      </c>
      <c r="H35" s="3">
        <v>183</v>
      </c>
      <c r="I35" s="3">
        <v>410</v>
      </c>
      <c r="J35" s="3">
        <v>333</v>
      </c>
      <c r="K35" s="3">
        <v>29</v>
      </c>
      <c r="L35" s="3">
        <v>215</v>
      </c>
      <c r="M35" s="3">
        <v>408</v>
      </c>
      <c r="N35" s="3">
        <v>137</v>
      </c>
      <c r="O35" s="3">
        <v>280</v>
      </c>
      <c r="P35" s="3">
        <v>249</v>
      </c>
      <c r="Q35" s="3">
        <v>263</v>
      </c>
      <c r="R35" s="3">
        <v>189</v>
      </c>
      <c r="S35" s="3">
        <v>202</v>
      </c>
      <c r="T35" s="132">
        <v>288</v>
      </c>
    </row>
    <row r="36" spans="6:20" x14ac:dyDescent="0.2">
      <c r="F36" s="314">
        <f>F35+90</f>
        <v>45777</v>
      </c>
      <c r="T36" s="94"/>
    </row>
    <row r="37" spans="6:20" x14ac:dyDescent="0.2">
      <c r="F37" s="314">
        <f t="shared" ref="F37:F42" si="1">F36+90</f>
        <v>45867</v>
      </c>
      <c r="T37" s="94"/>
    </row>
    <row r="38" spans="6:20" x14ac:dyDescent="0.2">
      <c r="F38" s="314">
        <f t="shared" si="1"/>
        <v>45957</v>
      </c>
      <c r="T38" s="94"/>
    </row>
    <row r="39" spans="6:20" x14ac:dyDescent="0.2">
      <c r="F39" s="314">
        <f t="shared" si="1"/>
        <v>46047</v>
      </c>
      <c r="T39" s="94"/>
    </row>
    <row r="40" spans="6:20" x14ac:dyDescent="0.2">
      <c r="F40" s="314">
        <f t="shared" si="1"/>
        <v>46137</v>
      </c>
      <c r="T40" s="94"/>
    </row>
    <row r="41" spans="6:20" x14ac:dyDescent="0.2">
      <c r="F41" s="314">
        <f t="shared" si="1"/>
        <v>46227</v>
      </c>
      <c r="T41" s="94"/>
    </row>
    <row r="42" spans="6:20" x14ac:dyDescent="0.2">
      <c r="F42" s="314">
        <f t="shared" si="1"/>
        <v>46317</v>
      </c>
      <c r="T42" s="94"/>
    </row>
    <row r="43" spans="6:20" ht="13.5" thickBot="1" x14ac:dyDescent="0.25">
      <c r="F43" s="101"/>
      <c r="G43" s="122"/>
      <c r="H43" s="122"/>
      <c r="I43" s="122"/>
      <c r="J43" s="122"/>
      <c r="K43" s="122"/>
      <c r="L43" s="122"/>
      <c r="M43" s="122"/>
      <c r="N43" s="122"/>
      <c r="O43" s="122"/>
      <c r="P43" s="122"/>
      <c r="Q43" s="122"/>
      <c r="R43" s="122"/>
      <c r="S43" s="122"/>
      <c r="T43" s="124"/>
    </row>
    <row r="44" spans="6:20" x14ac:dyDescent="0.2">
      <c r="F44" s="17" t="s">
        <v>278</v>
      </c>
    </row>
  </sheetData>
  <mergeCells count="1">
    <mergeCell ref="F21:H21"/>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5A5B-37E0-4AC3-8E06-0BD9B19BC98E}">
  <sheetPr>
    <tabColor theme="9" tint="0.79998168889431442"/>
  </sheetPr>
  <dimension ref="C1:R54"/>
  <sheetViews>
    <sheetView topLeftCell="A7" zoomScale="85" zoomScaleNormal="85" workbookViewId="0">
      <selection activeCell="S29" sqref="S29"/>
    </sheetView>
  </sheetViews>
  <sheetFormatPr defaultRowHeight="12.75" x14ac:dyDescent="0.2"/>
  <cols>
    <col min="3" max="3" width="17.42578125" customWidth="1"/>
    <col min="4" max="4" width="16.85546875" customWidth="1"/>
    <col min="5" max="5" width="14.140625" customWidth="1"/>
    <col min="6" max="6" width="11.85546875" bestFit="1" customWidth="1"/>
    <col min="7" max="7" width="11.28515625" customWidth="1"/>
    <col min="8" max="8" width="10.42578125" bestFit="1" customWidth="1"/>
    <col min="9" max="9" width="12.42578125" customWidth="1"/>
    <col min="10" max="10" width="14.85546875" bestFit="1" customWidth="1"/>
    <col min="11" max="11" width="10.42578125" customWidth="1"/>
    <col min="12" max="12" width="12.5703125" customWidth="1"/>
    <col min="13" max="13" width="10.28515625" bestFit="1" customWidth="1"/>
    <col min="14" max="14" width="12.28515625" bestFit="1" customWidth="1"/>
    <col min="15" max="15" width="12.42578125" customWidth="1"/>
    <col min="16" max="16" width="10.85546875" bestFit="1" customWidth="1"/>
    <col min="17" max="17" width="11.28515625" bestFit="1" customWidth="1"/>
    <col min="18" max="18" width="10" customWidth="1"/>
  </cols>
  <sheetData>
    <row r="1" spans="3:18" x14ac:dyDescent="0.2">
      <c r="C1" t="s">
        <v>268</v>
      </c>
    </row>
    <row r="2" spans="3:18" x14ac:dyDescent="0.2">
      <c r="C2" t="s">
        <v>269</v>
      </c>
      <c r="E2" s="17"/>
    </row>
    <row r="4" spans="3:18" ht="11.25" customHeight="1" x14ac:dyDescent="0.35">
      <c r="C4" s="378" t="s">
        <v>263</v>
      </c>
      <c r="D4" s="379"/>
      <c r="E4" s="379"/>
      <c r="F4" s="379"/>
      <c r="G4" s="379"/>
      <c r="H4" s="379"/>
      <c r="I4" s="379"/>
      <c r="J4" s="379"/>
      <c r="K4" s="379"/>
      <c r="L4" s="379"/>
      <c r="M4" s="379"/>
      <c r="N4" s="379"/>
      <c r="O4" s="379"/>
      <c r="P4" s="379"/>
      <c r="Q4" s="379"/>
      <c r="R4" s="256"/>
    </row>
    <row r="5" spans="3:18" ht="38.25" thickBot="1" x14ac:dyDescent="0.4">
      <c r="C5" s="289" t="s">
        <v>267</v>
      </c>
      <c r="D5" s="173"/>
      <c r="E5" s="173"/>
      <c r="F5" s="173"/>
      <c r="G5" s="173"/>
      <c r="H5" s="173" t="s">
        <v>294</v>
      </c>
      <c r="I5" s="173"/>
      <c r="J5" s="173"/>
      <c r="K5" s="173"/>
      <c r="L5" s="173"/>
      <c r="M5" s="173"/>
      <c r="N5" s="173"/>
      <c r="O5" s="173"/>
      <c r="P5" s="173"/>
      <c r="Q5" s="173"/>
      <c r="R5" s="173"/>
    </row>
    <row r="6" spans="3:18" ht="28.5" customHeight="1" x14ac:dyDescent="0.2">
      <c r="C6" s="290" t="s">
        <v>270</v>
      </c>
      <c r="D6" s="287"/>
      <c r="E6" s="287"/>
      <c r="F6" s="287"/>
      <c r="G6" s="287"/>
      <c r="H6" s="287"/>
      <c r="I6" s="287"/>
      <c r="J6" s="287"/>
      <c r="K6" s="287"/>
      <c r="L6" s="287"/>
      <c r="M6" s="287"/>
      <c r="N6" s="287"/>
      <c r="O6" s="287"/>
      <c r="P6" s="287"/>
      <c r="Q6" s="288"/>
    </row>
    <row r="7" spans="3:18" ht="24" customHeight="1" x14ac:dyDescent="0.3">
      <c r="C7" s="93" t="s">
        <v>271</v>
      </c>
      <c r="E7" s="17"/>
      <c r="F7" s="291"/>
      <c r="G7" s="291"/>
      <c r="H7" s="291"/>
      <c r="I7" s="291"/>
      <c r="J7" s="291"/>
      <c r="K7" s="291"/>
      <c r="L7" s="291"/>
      <c r="M7" s="291"/>
      <c r="N7" s="291"/>
      <c r="O7" s="291"/>
      <c r="P7" s="291"/>
      <c r="Q7" s="255"/>
    </row>
    <row r="8" spans="3:18" ht="24" customHeight="1" x14ac:dyDescent="0.3">
      <c r="C8" s="98" t="s">
        <v>272</v>
      </c>
      <c r="E8" s="17"/>
      <c r="F8" s="291"/>
      <c r="G8" s="291"/>
      <c r="H8" s="291"/>
      <c r="I8" s="291"/>
      <c r="J8" s="291"/>
      <c r="K8" s="291"/>
      <c r="L8" s="291"/>
      <c r="M8" s="291"/>
      <c r="N8" s="291"/>
      <c r="O8" s="291"/>
      <c r="P8" s="291"/>
      <c r="Q8" s="255"/>
    </row>
    <row r="9" spans="3:18" ht="20.25" x14ac:dyDescent="0.3">
      <c r="C9" s="93"/>
      <c r="F9" s="291"/>
      <c r="G9" s="291"/>
      <c r="H9" s="291"/>
      <c r="I9" s="30"/>
      <c r="J9" s="293" t="s">
        <v>244</v>
      </c>
      <c r="K9" s="294"/>
      <c r="L9" s="291"/>
      <c r="M9" s="291"/>
      <c r="N9" s="291"/>
      <c r="O9" s="291"/>
      <c r="P9" s="291"/>
      <c r="Q9" s="255"/>
    </row>
    <row r="10" spans="3:18" ht="27" x14ac:dyDescent="0.3">
      <c r="C10" s="93"/>
      <c r="F10" s="291"/>
      <c r="G10" s="291"/>
      <c r="H10" s="291"/>
      <c r="I10" s="263"/>
      <c r="J10" s="164" t="s">
        <v>238</v>
      </c>
      <c r="K10" s="295" t="s">
        <v>239</v>
      </c>
      <c r="L10" s="291"/>
      <c r="M10" s="291"/>
      <c r="N10" s="354" t="s">
        <v>315</v>
      </c>
      <c r="O10" s="291"/>
      <c r="P10" s="291"/>
      <c r="Q10" s="255"/>
    </row>
    <row r="11" spans="3:18" ht="20.25" x14ac:dyDescent="0.3">
      <c r="C11" s="93"/>
      <c r="F11" s="291"/>
      <c r="G11" s="291"/>
      <c r="H11" s="291"/>
      <c r="I11" s="257" t="s">
        <v>124</v>
      </c>
      <c r="J11" s="292">
        <v>0.6</v>
      </c>
      <c r="K11" s="296"/>
      <c r="L11" s="291"/>
      <c r="M11" s="291"/>
      <c r="N11" s="291"/>
      <c r="O11" s="291"/>
      <c r="P11" s="291"/>
      <c r="Q11" s="255"/>
    </row>
    <row r="12" spans="3:18" ht="20.25" x14ac:dyDescent="0.3">
      <c r="C12" s="93"/>
      <c r="F12" s="291"/>
      <c r="G12" s="291"/>
      <c r="H12" s="291"/>
      <c r="I12" s="257" t="s">
        <v>125</v>
      </c>
      <c r="J12" s="292">
        <v>0.1</v>
      </c>
      <c r="K12" s="296"/>
      <c r="L12" s="291"/>
      <c r="M12" s="291"/>
      <c r="N12" s="291"/>
      <c r="O12" s="291"/>
      <c r="P12" s="291"/>
      <c r="Q12" s="255"/>
    </row>
    <row r="13" spans="3:18" ht="20.25" x14ac:dyDescent="0.3">
      <c r="C13" s="93"/>
      <c r="F13" s="291"/>
      <c r="G13" s="291"/>
      <c r="H13" s="291"/>
      <c r="I13" s="257" t="s">
        <v>126</v>
      </c>
      <c r="J13" s="292">
        <v>0.2</v>
      </c>
      <c r="K13" s="297">
        <v>0.1</v>
      </c>
      <c r="L13" s="291"/>
      <c r="M13" s="291"/>
      <c r="N13" s="291"/>
      <c r="O13" s="291"/>
      <c r="P13" s="291"/>
      <c r="Q13" s="255"/>
    </row>
    <row r="14" spans="3:18" ht="20.25" x14ac:dyDescent="0.3">
      <c r="C14" s="93"/>
      <c r="F14" s="291"/>
      <c r="G14" s="291"/>
      <c r="H14" s="291"/>
      <c r="I14" s="257" t="s">
        <v>127</v>
      </c>
      <c r="J14" s="292">
        <v>0.4</v>
      </c>
      <c r="K14" s="297">
        <v>0.1</v>
      </c>
      <c r="L14" s="291"/>
      <c r="M14" s="291"/>
      <c r="N14" s="291"/>
      <c r="O14" s="291"/>
      <c r="P14" s="291"/>
      <c r="Q14" s="255"/>
    </row>
    <row r="15" spans="3:18" ht="20.25" x14ac:dyDescent="0.3">
      <c r="C15" s="93"/>
      <c r="E15" s="291"/>
      <c r="F15" s="291"/>
      <c r="G15" s="291"/>
      <c r="H15" s="291"/>
      <c r="I15" s="257" t="s">
        <v>128</v>
      </c>
      <c r="J15" s="292">
        <v>0.5</v>
      </c>
      <c r="K15" s="297">
        <v>0.1</v>
      </c>
      <c r="L15" s="291"/>
      <c r="M15" s="291"/>
      <c r="N15" s="291"/>
      <c r="O15" s="291"/>
      <c r="P15" s="291"/>
      <c r="Q15" s="255"/>
    </row>
    <row r="16" spans="3:18" ht="20.25" x14ac:dyDescent="0.3">
      <c r="C16" s="93"/>
      <c r="E16" s="291"/>
      <c r="F16" s="291"/>
      <c r="G16" s="291"/>
      <c r="H16" s="291"/>
      <c r="I16" s="257" t="s">
        <v>129</v>
      </c>
      <c r="J16" s="292">
        <v>0.65</v>
      </c>
      <c r="K16" s="297">
        <v>0.1</v>
      </c>
      <c r="L16" s="291"/>
      <c r="M16" s="291"/>
      <c r="N16" s="291"/>
      <c r="O16" s="291"/>
      <c r="P16" s="291"/>
      <c r="Q16" s="255"/>
    </row>
    <row r="17" spans="3:17" ht="20.25" x14ac:dyDescent="0.3">
      <c r="C17" s="93"/>
      <c r="E17" s="291"/>
      <c r="F17" s="291"/>
      <c r="G17" s="291"/>
      <c r="H17" s="291"/>
      <c r="I17" s="258" t="s">
        <v>130</v>
      </c>
      <c r="J17" s="298">
        <v>0.75</v>
      </c>
      <c r="K17" s="299">
        <v>0.1</v>
      </c>
      <c r="L17" s="291"/>
      <c r="M17" s="291"/>
      <c r="N17" s="291"/>
      <c r="O17" s="291"/>
      <c r="P17" s="291"/>
      <c r="Q17" s="255"/>
    </row>
    <row r="18" spans="3:17" ht="6" customHeight="1" x14ac:dyDescent="0.3">
      <c r="C18" s="254"/>
      <c r="D18" s="291"/>
      <c r="E18" s="291"/>
      <c r="F18" s="291"/>
      <c r="G18" s="291"/>
      <c r="H18" s="291"/>
      <c r="I18" s="291"/>
      <c r="J18" s="291"/>
      <c r="K18" s="291"/>
      <c r="L18" s="291"/>
      <c r="M18" s="291"/>
      <c r="N18" s="291"/>
      <c r="O18" s="291"/>
      <c r="P18" s="291"/>
      <c r="Q18" s="255"/>
    </row>
    <row r="19" spans="3:17" ht="9" customHeight="1" x14ac:dyDescent="0.3">
      <c r="C19" s="254"/>
      <c r="D19" s="291"/>
      <c r="E19" s="291"/>
      <c r="F19" s="291"/>
      <c r="G19" s="291"/>
      <c r="H19" s="291"/>
      <c r="I19" s="291"/>
      <c r="J19" s="291"/>
      <c r="K19" s="291"/>
      <c r="L19" s="291"/>
      <c r="M19" s="291"/>
      <c r="N19" s="291"/>
      <c r="O19" s="291"/>
      <c r="P19" s="291"/>
      <c r="Q19" s="255"/>
    </row>
    <row r="20" spans="3:17" s="164" customFormat="1" ht="26.25" x14ac:dyDescent="0.25">
      <c r="C20" s="262"/>
      <c r="D20" s="265" t="s">
        <v>69</v>
      </c>
      <c r="E20" s="250" t="s">
        <v>70</v>
      </c>
      <c r="F20" s="251" t="s">
        <v>71</v>
      </c>
      <c r="G20" s="251" t="s">
        <v>72</v>
      </c>
      <c r="H20" s="252" t="s">
        <v>179</v>
      </c>
      <c r="I20" s="251" t="s">
        <v>113</v>
      </c>
      <c r="J20" s="253" t="s">
        <v>75</v>
      </c>
      <c r="K20" s="253" t="s">
        <v>76</v>
      </c>
      <c r="L20" s="253" t="s">
        <v>241</v>
      </c>
      <c r="M20" s="253" t="s">
        <v>240</v>
      </c>
      <c r="N20" s="253" t="s">
        <v>78</v>
      </c>
      <c r="O20" s="253" t="s">
        <v>79</v>
      </c>
      <c r="P20" s="266" t="s">
        <v>111</v>
      </c>
      <c r="Q20" s="267" t="s">
        <v>112</v>
      </c>
    </row>
    <row r="21" spans="3:17" x14ac:dyDescent="0.2">
      <c r="C21" s="131" t="s">
        <v>18</v>
      </c>
      <c r="D21" s="3" cm="1">
        <f t="array" ref="D21">ROUND(SUM((E42:E48)*($J$11:$J$17)/('Rate Assumption '!$C$28:$C$34)),0)</f>
        <v>12</v>
      </c>
      <c r="E21" s="3" cm="1">
        <f t="array" ref="E21">ROUND(SUM((F42:F48)*($J$11:$J$17)/('Rate Assumption '!$C$28:$C$34)),0)</f>
        <v>5</v>
      </c>
      <c r="F21" s="3" cm="1">
        <f t="array" ref="F21">ROUND(SUM((G42:G48)*($J$11:$J$17)/('Rate Assumption '!$C$28:$C$34)),0)</f>
        <v>11</v>
      </c>
      <c r="G21" s="3" cm="1">
        <f t="array" ref="G21">ROUND(SUM((H42:H48)*($J$11:$J$17)/('Rate Assumption '!$C$28:$C$34)),0)</f>
        <v>10</v>
      </c>
      <c r="H21" s="3" cm="1">
        <f t="array" ref="H21">ROUND(SUM((I42:I48)*($J$11:$J$17)/('Rate Assumption '!$C$28:$C$34)),0)</f>
        <v>1</v>
      </c>
      <c r="I21" s="3" cm="1">
        <f t="array" ref="I21">ROUND(SUM((J42:J48)*($J$11:$J$17)/('Rate Assumption '!$C$28:$C$34)),0)</f>
        <v>6</v>
      </c>
      <c r="J21" s="3" cm="1">
        <f t="array" ref="J21">ROUND(SUM((K42:K48)*($J$11:$J$17)/('Rate Assumption '!$C$28:$C$34)),0)</f>
        <v>12</v>
      </c>
      <c r="K21" s="3" cm="1">
        <f t="array" ref="K21">ROUND(SUM((L42:L48)*($J$11:$J$17)/('Rate Assumption '!$C$28:$C$34)),0)</f>
        <v>4</v>
      </c>
      <c r="L21" s="3" cm="1">
        <f t="array" ref="L21">ROUND(SUM((M42:M48)*($J$11:$J$17)/('Rate Assumption '!$C$28:$C$34)),0)</f>
        <v>7</v>
      </c>
      <c r="M21" s="3" cm="1">
        <f t="array" ref="M21">ROUND(SUM((N42:N48)*($J$11:$J$17)/('Rate Assumption '!$C$28:$C$34)),0)</f>
        <v>7</v>
      </c>
      <c r="N21" s="3" cm="1">
        <f t="array" ref="N21">ROUND(SUM((O42:O48)*($J$11:$J$17)/('Rate Assumption '!$C$28:$C$34)),0)</f>
        <v>7</v>
      </c>
      <c r="O21" s="3" cm="1">
        <f t="array" ref="O21">ROUND(SUM((P42:P48)*($J$11:$J$17)/('Rate Assumption '!$C$28:$C$34)),0)</f>
        <v>5</v>
      </c>
      <c r="P21" s="3" cm="1">
        <f t="array" ref="P21">ROUND(SUM((Q42:Q48)*($J$11:$J$17)/('Rate Assumption '!$C$28:$C$34)),0)</f>
        <v>6</v>
      </c>
      <c r="Q21" s="132" cm="1">
        <f t="array" ref="Q21">ROUND(SUM((R42:R48)*($J$11:$J$17)/('Rate Assumption '!$C$28:$C$34)),0)</f>
        <v>8</v>
      </c>
    </row>
    <row r="22" spans="3:17" x14ac:dyDescent="0.2">
      <c r="C22" s="131" t="s">
        <v>15</v>
      </c>
      <c r="D22" s="3" cm="1">
        <f t="array" ref="D22">ROUND(SUM((E44:E48)*($K$13:$K$17)*('Fee Table'!$D$67:$D$71))/174,1)</f>
        <v>1.9</v>
      </c>
      <c r="E22" s="3" cm="1">
        <f t="array" ref="E22">ROUND(SUM((F44:F48)*($K$13:$K$17)*('Fee Table'!$D$67:$D$71))/174,1)</f>
        <v>0.8</v>
      </c>
      <c r="F22" s="3" cm="1">
        <f t="array" ref="F22">ROUND(SUM((G44:G48)*($K$13:$K$17)*('Fee Table'!$D$67:$D$71))/174,1)</f>
        <v>1.8</v>
      </c>
      <c r="G22" s="3" cm="1">
        <f t="array" ref="G22">ROUND(SUM((H44:H48)*($K$13:$K$17)*('Fee Table'!$D$67:$D$71))/174,1)</f>
        <v>1.5</v>
      </c>
      <c r="H22" s="3" cm="1">
        <f t="array" ref="H22">ROUND(SUM((I44:I48)*($K$13:$K$17)*('Fee Table'!$D$67:$D$71))/174,1)</f>
        <v>0.1</v>
      </c>
      <c r="I22" s="3" cm="1">
        <f t="array" ref="I22">ROUND(SUM((J44:J48)*($K$13:$K$17)*('Fee Table'!$D$67:$D$71))/174,1)</f>
        <v>0.9</v>
      </c>
      <c r="J22" s="3" cm="1">
        <f t="array" ref="J22">ROUND(SUM((K44:K48)*($K$13:$K$17)*('Fee Table'!$D$67:$D$71))/174,1)</f>
        <v>1.9</v>
      </c>
      <c r="K22" s="3" cm="1">
        <f t="array" ref="K22">ROUND(SUM((L44:L48)*($K$13:$K$17)*('Fee Table'!$D$67:$D$71))/174,1)</f>
        <v>0.7</v>
      </c>
      <c r="L22" s="3" cm="1">
        <f t="array" ref="L22">ROUND(SUM((M44:M48)*($K$13:$K$17)*('Fee Table'!$D$67:$D$71))/174,1)</f>
        <v>1.1000000000000001</v>
      </c>
      <c r="M22" s="3" cm="1">
        <f t="array" ref="M22">ROUND(SUM((N44:N48)*($K$13:$K$17)*('Fee Table'!$D$67:$D$71))/174,1)</f>
        <v>1.1000000000000001</v>
      </c>
      <c r="N22" s="3" cm="1">
        <f t="array" ref="N22">ROUND(SUM((O44:O48)*($K$13:$K$17)*('Fee Table'!$D$67:$D$71))/174,1)</f>
        <v>1.1000000000000001</v>
      </c>
      <c r="O22" s="3" cm="1">
        <f t="array" ref="O22">ROUND(SUM((P44:P48)*($K$13:$K$17)*('Fee Table'!$D$67:$D$71))/174,1)</f>
        <v>0.8</v>
      </c>
      <c r="P22" s="3" cm="1">
        <f t="array" ref="P22">ROUND(SUM((Q44:Q48)*($K$13:$K$17)*('Fee Table'!$D$67:$D$71))/174,1)</f>
        <v>0.9</v>
      </c>
      <c r="Q22" s="132" cm="1">
        <f t="array" ref="Q22">ROUND(SUM((R44:R48)*($K$13:$K$17)*('Fee Table'!$D$67:$D$71))/174,1)</f>
        <v>1.2</v>
      </c>
    </row>
    <row r="23" spans="3:17" x14ac:dyDescent="0.2">
      <c r="C23" s="131"/>
      <c r="D23" s="111"/>
      <c r="E23" s="111"/>
      <c r="F23" s="111"/>
      <c r="G23" s="111"/>
      <c r="H23" s="111"/>
      <c r="I23" s="111"/>
      <c r="J23" s="111"/>
      <c r="K23" s="111"/>
      <c r="L23" s="111"/>
      <c r="M23" s="111"/>
      <c r="N23" s="111"/>
      <c r="O23" s="111"/>
      <c r="P23" s="111"/>
      <c r="Q23" s="163"/>
    </row>
    <row r="24" spans="3:17" x14ac:dyDescent="0.2">
      <c r="C24" s="131" t="s">
        <v>180</v>
      </c>
      <c r="D24" s="3">
        <f>ROUND(SUM(D21:D22)/'Rate Assumption '!C43,1)</f>
        <v>2.2999999999999998</v>
      </c>
      <c r="E24" s="3">
        <f>ROUND(SUM(E21:E22)/6,1)</f>
        <v>1</v>
      </c>
      <c r="F24" s="3">
        <f>ROUND(SUM(F21:F22)/6,1)</f>
        <v>2.1</v>
      </c>
      <c r="G24" s="3">
        <f>ROUND(SUM(G21:G22)/6,1)</f>
        <v>1.9</v>
      </c>
      <c r="H24" s="3">
        <v>1</v>
      </c>
      <c r="I24" s="3">
        <f t="shared" ref="I24:Q24" si="0">ROUND(SUM(I21:I22)/6,1)</f>
        <v>1.2</v>
      </c>
      <c r="J24" s="3">
        <f t="shared" si="0"/>
        <v>2.2999999999999998</v>
      </c>
      <c r="K24" s="3">
        <f t="shared" si="0"/>
        <v>0.8</v>
      </c>
      <c r="L24" s="3">
        <f t="shared" si="0"/>
        <v>1.4</v>
      </c>
      <c r="M24" s="3">
        <f t="shared" si="0"/>
        <v>1.4</v>
      </c>
      <c r="N24" s="3">
        <f t="shared" si="0"/>
        <v>1.4</v>
      </c>
      <c r="O24" s="3">
        <f t="shared" si="0"/>
        <v>1</v>
      </c>
      <c r="P24" s="3">
        <f t="shared" si="0"/>
        <v>1.2</v>
      </c>
      <c r="Q24" s="132">
        <f t="shared" si="0"/>
        <v>1.5</v>
      </c>
    </row>
    <row r="25" spans="3:17" x14ac:dyDescent="0.2">
      <c r="C25" s="262" t="s">
        <v>30</v>
      </c>
      <c r="D25" s="3">
        <f>ROUND(SUM(D24)/'Rate Assumption '!$C$45,1)</f>
        <v>0.4</v>
      </c>
      <c r="E25" s="3">
        <f>ROUND(SUM(E24)/'Rate Assumption '!$C$45,1)</f>
        <v>0.2</v>
      </c>
      <c r="F25" s="3">
        <f>ROUND(SUM(F24)/'Rate Assumption '!$C$45,1)</f>
        <v>0.4</v>
      </c>
      <c r="G25" s="3">
        <f>ROUND(SUM(G24)/'Rate Assumption '!$C$45,1)</f>
        <v>0.3</v>
      </c>
      <c r="H25" s="3">
        <v>0.5</v>
      </c>
      <c r="I25" s="3">
        <f>ROUND(SUM(I24)/'Rate Assumption '!$C$45,1)</f>
        <v>0.2</v>
      </c>
      <c r="J25" s="3">
        <f>ROUND(SUM(J24)/'Rate Assumption '!$C$45,1)</f>
        <v>0.4</v>
      </c>
      <c r="K25" s="3">
        <f>ROUND(SUM(K24)/'Rate Assumption '!$C$45,1)</f>
        <v>0.1</v>
      </c>
      <c r="L25" s="3">
        <f>ROUND(SUM(L24)/'Rate Assumption '!$C$45,1)</f>
        <v>0.2</v>
      </c>
      <c r="M25" s="3">
        <f>ROUND(SUM(M24)/'Rate Assumption '!$C$45,1)</f>
        <v>0.2</v>
      </c>
      <c r="N25" s="3">
        <f>ROUND(SUM(N24)/'Rate Assumption '!$C$45,1)</f>
        <v>0.2</v>
      </c>
      <c r="O25" s="3">
        <f>ROUND(SUM(O24)/'Rate Assumption '!$C$45,1)</f>
        <v>0.2</v>
      </c>
      <c r="P25" s="3">
        <f>ROUND(SUM(P24)/'Rate Assumption '!$C$45,1)</f>
        <v>0.2</v>
      </c>
      <c r="Q25" s="132">
        <f>ROUND(SUM(Q24)/'Rate Assumption '!$C$45,1)</f>
        <v>0.3</v>
      </c>
    </row>
    <row r="26" spans="3:17" ht="25.5" x14ac:dyDescent="0.2">
      <c r="C26" s="262" t="s">
        <v>32</v>
      </c>
      <c r="D26" s="3">
        <f>ROUND(D21*'Rate Assumption '!$C$47,1)</f>
        <v>0.6</v>
      </c>
      <c r="E26" s="3">
        <f>ROUND(E21*'Rate Assumption '!$C$47,1)</f>
        <v>0.3</v>
      </c>
      <c r="F26" s="3">
        <f>ROUND(F21*'Rate Assumption '!$C$47,1)</f>
        <v>0.6</v>
      </c>
      <c r="G26" s="3">
        <f>ROUND(G21*'Rate Assumption '!$C$47,1)</f>
        <v>0.5</v>
      </c>
      <c r="H26" s="3">
        <f>ROUND(H21*'Rate Assumption '!$C$47,1)</f>
        <v>0.1</v>
      </c>
      <c r="I26" s="3">
        <f>ROUND(I21*'Rate Assumption '!$C$47,1)</f>
        <v>0.3</v>
      </c>
      <c r="J26" s="3">
        <f>ROUND(J21*'Rate Assumption '!$C$47,1)</f>
        <v>0.6</v>
      </c>
      <c r="K26" s="3">
        <f>ROUND(K21*'Rate Assumption '!$C$47,1)</f>
        <v>0.2</v>
      </c>
      <c r="L26" s="3">
        <f>ROUND(L21*'Rate Assumption '!$C$47,1)</f>
        <v>0.4</v>
      </c>
      <c r="M26" s="3">
        <f>ROUND(M21*'Rate Assumption '!$C$47,1)</f>
        <v>0.4</v>
      </c>
      <c r="N26" s="3">
        <f>ROUND(N21*'Rate Assumption '!$C$47,1)</f>
        <v>0.4</v>
      </c>
      <c r="O26" s="3">
        <f>ROUND(O21*'Rate Assumption '!$C$47,1)</f>
        <v>0.3</v>
      </c>
      <c r="P26" s="3">
        <f>ROUND(P21*'Rate Assumption '!$C$47,1)</f>
        <v>0.3</v>
      </c>
      <c r="Q26" s="132">
        <f>ROUND(Q21*'Rate Assumption '!$C$47,1)</f>
        <v>0.4</v>
      </c>
    </row>
    <row r="27" spans="3:17" ht="25.5" x14ac:dyDescent="0.2">
      <c r="C27" s="262" t="s">
        <v>34</v>
      </c>
      <c r="D27" s="3">
        <f>ROUND(D21*'Rate Assumption '!$C$46,1)</f>
        <v>0.6</v>
      </c>
      <c r="E27" s="3">
        <f>ROUND(E21*'Rate Assumption '!$C$46,1)</f>
        <v>0.3</v>
      </c>
      <c r="F27" s="3">
        <f>ROUND(F21*'Rate Assumption '!$C$46,1)</f>
        <v>0.6</v>
      </c>
      <c r="G27" s="3">
        <f>ROUND(G21*'Rate Assumption '!$C$46,1)</f>
        <v>0.5</v>
      </c>
      <c r="H27" s="3">
        <v>0.25</v>
      </c>
      <c r="I27" s="3">
        <f>ROUND(I21*'Rate Assumption '!$C$46,1)</f>
        <v>0.3</v>
      </c>
      <c r="J27" s="3">
        <f>ROUND(J21*'Rate Assumption '!$C$46,1)</f>
        <v>0.6</v>
      </c>
      <c r="K27" s="3">
        <f>ROUND(K21*'Rate Assumption '!$C$46,1)</f>
        <v>0.2</v>
      </c>
      <c r="L27" s="3">
        <f>ROUND(L21*'Rate Assumption '!$C$46,1)</f>
        <v>0.4</v>
      </c>
      <c r="M27" s="3">
        <f>ROUND(M21*'Rate Assumption '!$C$46,1)</f>
        <v>0.4</v>
      </c>
      <c r="N27" s="3">
        <f>ROUND(N21*'Rate Assumption '!$C$46,1)</f>
        <v>0.4</v>
      </c>
      <c r="O27" s="3">
        <f>ROUND(O21*'Rate Assumption '!$C$46,1)</f>
        <v>0.3</v>
      </c>
      <c r="P27" s="3">
        <f>ROUND(P21*'Rate Assumption '!$C$46,1)</f>
        <v>0.3</v>
      </c>
      <c r="Q27" s="132">
        <f>ROUND(Q21*'Rate Assumption '!$C$46,1)</f>
        <v>0.4</v>
      </c>
    </row>
    <row r="28" spans="3:17" x14ac:dyDescent="0.2">
      <c r="C28" s="262" t="s">
        <v>36</v>
      </c>
      <c r="D28" s="3">
        <f>ROUND(D25/'Rate Assumption '!$C$48,1)</f>
        <v>0.2</v>
      </c>
      <c r="E28" s="3">
        <f>ROUND(E25/'Rate Assumption '!$C$48,1)</f>
        <v>0.1</v>
      </c>
      <c r="F28" s="3">
        <f>ROUND(F25/'Rate Assumption '!$C$48,1)</f>
        <v>0.2</v>
      </c>
      <c r="G28" s="3">
        <f>ROUND(G25/'Rate Assumption '!$C$48,1)</f>
        <v>0.1</v>
      </c>
      <c r="H28" s="3">
        <f>ROUND(H25/'Rate Assumption '!$C$48,1)</f>
        <v>0.2</v>
      </c>
      <c r="I28" s="3">
        <f>ROUND(I25/'Rate Assumption '!$C$48,1)</f>
        <v>0.1</v>
      </c>
      <c r="J28" s="3">
        <f>ROUND(J25/'Rate Assumption '!$C$48,1)</f>
        <v>0.2</v>
      </c>
      <c r="K28" s="3">
        <f>ROUND(K25/'Rate Assumption '!$C$48,1)</f>
        <v>0</v>
      </c>
      <c r="L28" s="3">
        <f>ROUND(L25/'Rate Assumption '!$C$48,1)</f>
        <v>0.1</v>
      </c>
      <c r="M28" s="3">
        <f>ROUND(M25/'Rate Assumption '!$C$48,1)</f>
        <v>0.1</v>
      </c>
      <c r="N28" s="3">
        <f>ROUND(N25/'Rate Assumption '!$C$48,1)</f>
        <v>0.1</v>
      </c>
      <c r="O28" s="3">
        <f>ROUND(O25/'Rate Assumption '!$C$48,1)</f>
        <v>0.1</v>
      </c>
      <c r="P28" s="3">
        <f>ROUND(P25/'Rate Assumption '!$C$48,1)</f>
        <v>0.1</v>
      </c>
      <c r="Q28" s="132">
        <f>ROUND(Q25/'Rate Assumption '!$C$48,1)</f>
        <v>0.1</v>
      </c>
    </row>
    <row r="29" spans="3:17" ht="25.5" x14ac:dyDescent="0.2">
      <c r="C29" s="262" t="s">
        <v>38</v>
      </c>
      <c r="D29" s="3">
        <f>ROUND(D21/'Rate Assumption '!$C$49,1)</f>
        <v>1.2</v>
      </c>
      <c r="E29" s="3">
        <f>ROUND(E21/'Rate Assumption '!$C$49,1)</f>
        <v>0.5</v>
      </c>
      <c r="F29" s="3">
        <f>ROUND(F21/'Rate Assumption '!$C$49,1)</f>
        <v>1.1000000000000001</v>
      </c>
      <c r="G29" s="3">
        <f>ROUND(G21/'Rate Assumption '!$C$49,1)</f>
        <v>1</v>
      </c>
      <c r="H29" s="3">
        <f>ROUND(H21/'Rate Assumption '!$C$49,1)</f>
        <v>0.1</v>
      </c>
      <c r="I29" s="3">
        <f>ROUND(I21/'Rate Assumption '!$C$49,1)</f>
        <v>0.6</v>
      </c>
      <c r="J29" s="3">
        <f>ROUND(J21/'Rate Assumption '!$C$49,1)</f>
        <v>1.2</v>
      </c>
      <c r="K29" s="3">
        <f>ROUND(K21/'Rate Assumption '!$C$49,1)</f>
        <v>0.4</v>
      </c>
      <c r="L29" s="3">
        <f>ROUND(L21/'Rate Assumption '!$C$49,1)</f>
        <v>0.7</v>
      </c>
      <c r="M29" s="3">
        <f>ROUND(M21/'Rate Assumption '!$C$49,1)</f>
        <v>0.7</v>
      </c>
      <c r="N29" s="3">
        <f>ROUND(N21/'Rate Assumption '!$C$49,1)</f>
        <v>0.7</v>
      </c>
      <c r="O29" s="3">
        <f>ROUND(O21/'Rate Assumption '!$C$49,1)</f>
        <v>0.5</v>
      </c>
      <c r="P29" s="3">
        <f>ROUND(P21/'Rate Assumption '!$C$49,1)</f>
        <v>0.6</v>
      </c>
      <c r="Q29" s="132">
        <f>ROUND(Q21/'Rate Assumption '!$C$49,1)</f>
        <v>0.8</v>
      </c>
    </row>
    <row r="30" spans="3:17" x14ac:dyDescent="0.2">
      <c r="C30" s="93"/>
      <c r="Q30" s="94"/>
    </row>
    <row r="31" spans="3:17" x14ac:dyDescent="0.2">
      <c r="C31" s="93"/>
      <c r="Q31" s="94"/>
    </row>
    <row r="32" spans="3:17" x14ac:dyDescent="0.2">
      <c r="C32" s="98" t="s">
        <v>192</v>
      </c>
      <c r="D32" s="125"/>
      <c r="Q32" s="94"/>
    </row>
    <row r="33" spans="3:18" ht="13.5" thickBot="1" x14ac:dyDescent="0.25">
      <c r="C33" s="101"/>
      <c r="D33" s="122"/>
      <c r="E33" s="122"/>
      <c r="F33" s="122"/>
      <c r="G33" s="122"/>
      <c r="H33" s="122"/>
      <c r="I33" s="122"/>
      <c r="J33" s="122"/>
      <c r="K33" s="122"/>
      <c r="L33" s="122"/>
      <c r="M33" s="122"/>
      <c r="N33" s="122"/>
      <c r="O33" s="122"/>
      <c r="P33" s="122"/>
      <c r="Q33" s="124"/>
    </row>
    <row r="39" spans="3:18" x14ac:dyDescent="0.2">
      <c r="C39" t="s">
        <v>265</v>
      </c>
    </row>
    <row r="40" spans="3:18" ht="13.5" thickBot="1" x14ac:dyDescent="0.25">
      <c r="C40" s="17" t="s">
        <v>266</v>
      </c>
    </row>
    <row r="41" spans="3:18" ht="56.25" customHeight="1" x14ac:dyDescent="0.2">
      <c r="C41" s="290"/>
      <c r="D41" s="332" t="s">
        <v>275</v>
      </c>
      <c r="E41" s="333" t="s">
        <v>69</v>
      </c>
      <c r="F41" s="333" t="s">
        <v>70</v>
      </c>
      <c r="G41" s="333" t="s">
        <v>71</v>
      </c>
      <c r="H41" s="333" t="s">
        <v>72</v>
      </c>
      <c r="I41" s="333" t="s">
        <v>73</v>
      </c>
      <c r="J41" s="333" t="s">
        <v>113</v>
      </c>
      <c r="K41" s="333" t="s">
        <v>75</v>
      </c>
      <c r="L41" s="333" t="s">
        <v>76</v>
      </c>
      <c r="M41" s="333" t="s">
        <v>241</v>
      </c>
      <c r="N41" s="333" t="s">
        <v>240</v>
      </c>
      <c r="O41" s="333" t="s">
        <v>78</v>
      </c>
      <c r="P41" s="333" t="s">
        <v>79</v>
      </c>
      <c r="Q41" s="333" t="s">
        <v>111</v>
      </c>
      <c r="R41" s="334" t="s">
        <v>112</v>
      </c>
    </row>
    <row r="42" spans="3:18" x14ac:dyDescent="0.2">
      <c r="C42" s="98" t="s">
        <v>124</v>
      </c>
      <c r="D42" s="165">
        <v>0.39400000000000002</v>
      </c>
      <c r="E42" s="3">
        <f>ROUNDUP('Maximum FTE allowable'!G$34*$D42,0)</f>
        <v>173</v>
      </c>
      <c r="F42" s="3">
        <f>ROUNDUP('Maximum FTE allowable'!H$34*$D42,0)</f>
        <v>71</v>
      </c>
      <c r="G42" s="3">
        <f>ROUNDUP('Maximum FTE allowable'!I$34*$D42,0)</f>
        <v>161</v>
      </c>
      <c r="H42" s="3">
        <f>ROUNDUP('Maximum FTE allowable'!J$34*$D42,0)</f>
        <v>138</v>
      </c>
      <c r="I42" s="3">
        <f>ROUNDUP('Maximum FTE allowable'!K$34*$D42,0)</f>
        <v>11</v>
      </c>
      <c r="J42" s="3">
        <f>ROUNDUP('Maximum FTE allowable'!L$34*$D42,0)</f>
        <v>84</v>
      </c>
      <c r="K42" s="3">
        <f>ROUNDUP('Maximum FTE allowable'!M$34*$D42,0)</f>
        <v>175</v>
      </c>
      <c r="L42" s="3">
        <f>ROUNDUP('Maximum FTE allowable'!N$34*$D42,0)</f>
        <v>60</v>
      </c>
      <c r="M42" s="3">
        <f>ROUNDUP('Maximum FTE allowable'!O$34*$D42,0)</f>
        <v>104</v>
      </c>
      <c r="N42" s="3">
        <f>ROUNDUP('Maximum FTE allowable'!P$34*$D42,0)</f>
        <v>97</v>
      </c>
      <c r="O42" s="3">
        <f>ROUNDUP('Maximum FTE allowable'!Q$34*$D42,0)</f>
        <v>101</v>
      </c>
      <c r="P42" s="3">
        <f>ROUNDUP('Maximum FTE allowable'!R$34*$D42,0)</f>
        <v>76</v>
      </c>
      <c r="Q42" s="3">
        <f>ROUNDUP('Maximum FTE allowable'!S$34*$D42,0)</f>
        <v>80</v>
      </c>
      <c r="R42" s="132">
        <f>ROUNDUP('Maximum FTE allowable'!T$34*$D42,0)</f>
        <v>112</v>
      </c>
    </row>
    <row r="43" spans="3:18" x14ac:dyDescent="0.2">
      <c r="C43" s="98" t="s">
        <v>125</v>
      </c>
      <c r="D43" s="165">
        <v>0.08</v>
      </c>
      <c r="E43" s="3">
        <f>ROUNDUP('Maximum FTE allowable'!G$34*$D43,0)</f>
        <v>36</v>
      </c>
      <c r="F43" s="3">
        <f>ROUNDUP('Maximum FTE allowable'!H$34*$D43,0)</f>
        <v>15</v>
      </c>
      <c r="G43" s="3">
        <f>ROUNDUP('Maximum FTE allowable'!I$34*$D43,0)</f>
        <v>33</v>
      </c>
      <c r="H43" s="3">
        <f>ROUNDUP('Maximum FTE allowable'!J$34*$D43,0)</f>
        <v>28</v>
      </c>
      <c r="I43" s="3">
        <f>ROUNDUP('Maximum FTE allowable'!K$34*$D43,0)</f>
        <v>3</v>
      </c>
      <c r="J43" s="3">
        <f>ROUNDUP('Maximum FTE allowable'!L$34*$D43,0)</f>
        <v>17</v>
      </c>
      <c r="K43" s="3">
        <f>ROUNDUP('Maximum FTE allowable'!M$34*$D43,0)</f>
        <v>36</v>
      </c>
      <c r="L43" s="3">
        <f>ROUNDUP('Maximum FTE allowable'!N$34*$D43,0)</f>
        <v>13</v>
      </c>
      <c r="M43" s="3">
        <f>ROUNDUP('Maximum FTE allowable'!O$34*$D43,0)</f>
        <v>22</v>
      </c>
      <c r="N43" s="3">
        <f>ROUNDUP('Maximum FTE allowable'!P$34*$D43,0)</f>
        <v>20</v>
      </c>
      <c r="O43" s="3">
        <f>ROUNDUP('Maximum FTE allowable'!Q$34*$D43,0)</f>
        <v>21</v>
      </c>
      <c r="P43" s="3">
        <f>ROUNDUP('Maximum FTE allowable'!R$34*$D43,0)</f>
        <v>16</v>
      </c>
      <c r="Q43" s="3">
        <f>ROUNDUP('Maximum FTE allowable'!S$34*$D43,0)</f>
        <v>17</v>
      </c>
      <c r="R43" s="132">
        <f>ROUNDUP('Maximum FTE allowable'!T$34*$D43,0)</f>
        <v>23</v>
      </c>
    </row>
    <row r="44" spans="3:18" x14ac:dyDescent="0.2">
      <c r="C44" s="98" t="s">
        <v>126</v>
      </c>
      <c r="D44" s="165">
        <v>0.14099999999999999</v>
      </c>
      <c r="E44" s="3">
        <f>ROUNDUP('Maximum FTE allowable'!G$34*$D44,0)</f>
        <v>62</v>
      </c>
      <c r="F44" s="3">
        <f>ROUNDUP('Maximum FTE allowable'!H$34*$D44,0)</f>
        <v>26</v>
      </c>
      <c r="G44" s="3">
        <f>ROUNDUP('Maximum FTE allowable'!I$34*$D44,0)</f>
        <v>58</v>
      </c>
      <c r="H44" s="3">
        <f>ROUNDUP('Maximum FTE allowable'!J$34*$D44,0)</f>
        <v>50</v>
      </c>
      <c r="I44" s="3">
        <f>ROUNDUP('Maximum FTE allowable'!K$34*$D44,0)</f>
        <v>4</v>
      </c>
      <c r="J44" s="3">
        <f>ROUNDUP('Maximum FTE allowable'!L$34*$D44,0)</f>
        <v>30</v>
      </c>
      <c r="K44" s="3">
        <f>ROUNDUP('Maximum FTE allowable'!M$34*$D44,0)</f>
        <v>63</v>
      </c>
      <c r="L44" s="3">
        <f>ROUNDUP('Maximum FTE allowable'!N$34*$D44,0)</f>
        <v>22</v>
      </c>
      <c r="M44" s="3">
        <f>ROUNDUP('Maximum FTE allowable'!O$34*$D44,0)</f>
        <v>38</v>
      </c>
      <c r="N44" s="3">
        <f>ROUNDUP('Maximum FTE allowable'!P$34*$D44,0)</f>
        <v>35</v>
      </c>
      <c r="O44" s="3">
        <f>ROUNDUP('Maximum FTE allowable'!Q$34*$D44,0)</f>
        <v>37</v>
      </c>
      <c r="P44" s="3">
        <f>ROUNDUP('Maximum FTE allowable'!R$34*$D44,0)</f>
        <v>27</v>
      </c>
      <c r="Q44" s="3">
        <f>ROUNDUP('Maximum FTE allowable'!S$34*$D44,0)</f>
        <v>29</v>
      </c>
      <c r="R44" s="132">
        <f>ROUNDUP('Maximum FTE allowable'!T$34*$D44,0)</f>
        <v>41</v>
      </c>
    </row>
    <row r="45" spans="3:18" x14ac:dyDescent="0.2">
      <c r="C45" s="98" t="s">
        <v>127</v>
      </c>
      <c r="D45" s="165">
        <v>6.8000000000000005E-2</v>
      </c>
      <c r="E45" s="3">
        <f>ROUNDUP('Maximum FTE allowable'!G$34*$D45,0)</f>
        <v>30</v>
      </c>
      <c r="F45" s="3">
        <f>ROUNDUP('Maximum FTE allowable'!H$34*$D45,0)</f>
        <v>13</v>
      </c>
      <c r="G45" s="3">
        <f>ROUNDUP('Maximum FTE allowable'!I$34*$D45,0)</f>
        <v>28</v>
      </c>
      <c r="H45" s="3">
        <f>ROUNDUP('Maximum FTE allowable'!J$34*$D45,0)</f>
        <v>24</v>
      </c>
      <c r="I45" s="3">
        <f>ROUNDUP('Maximum FTE allowable'!K$34*$D45,0)</f>
        <v>2</v>
      </c>
      <c r="J45" s="3">
        <f>ROUNDUP('Maximum FTE allowable'!L$34*$D45,0)</f>
        <v>15</v>
      </c>
      <c r="K45" s="3">
        <f>ROUNDUP('Maximum FTE allowable'!M$34*$D45,0)</f>
        <v>31</v>
      </c>
      <c r="L45" s="3">
        <f>ROUNDUP('Maximum FTE allowable'!N$34*$D45,0)</f>
        <v>11</v>
      </c>
      <c r="M45" s="3">
        <f>ROUNDUP('Maximum FTE allowable'!O$34*$D45,0)</f>
        <v>18</v>
      </c>
      <c r="N45" s="3">
        <f>ROUNDUP('Maximum FTE allowable'!P$34*$D45,0)</f>
        <v>17</v>
      </c>
      <c r="O45" s="3">
        <f>ROUNDUP('Maximum FTE allowable'!Q$34*$D45,0)</f>
        <v>18</v>
      </c>
      <c r="P45" s="3">
        <f>ROUNDUP('Maximum FTE allowable'!R$34*$D45,0)</f>
        <v>13</v>
      </c>
      <c r="Q45" s="3">
        <f>ROUNDUP('Maximum FTE allowable'!S$34*$D45,0)</f>
        <v>14</v>
      </c>
      <c r="R45" s="132">
        <f>ROUNDUP('Maximum FTE allowable'!T$34*$D45,0)</f>
        <v>20</v>
      </c>
    </row>
    <row r="46" spans="3:18" x14ac:dyDescent="0.2">
      <c r="C46" s="98" t="s">
        <v>128</v>
      </c>
      <c r="D46" s="165">
        <v>9.8000000000000004E-2</v>
      </c>
      <c r="E46" s="3">
        <f>ROUNDUP('Maximum FTE allowable'!G$34*$D46,0)</f>
        <v>43</v>
      </c>
      <c r="F46" s="3">
        <f>ROUNDUP('Maximum FTE allowable'!H$34*$D46,0)</f>
        <v>18</v>
      </c>
      <c r="G46" s="3">
        <f>ROUNDUP('Maximum FTE allowable'!I$34*$D46,0)</f>
        <v>40</v>
      </c>
      <c r="H46" s="3">
        <f>ROUNDUP('Maximum FTE allowable'!J$34*$D46,0)</f>
        <v>35</v>
      </c>
      <c r="I46" s="3">
        <f>ROUNDUP('Maximum FTE allowable'!K$34*$D46,0)</f>
        <v>3</v>
      </c>
      <c r="J46" s="3">
        <f>ROUNDUP('Maximum FTE allowable'!L$34*$D46,0)</f>
        <v>21</v>
      </c>
      <c r="K46" s="3">
        <f>ROUNDUP('Maximum FTE allowable'!M$34*$D46,0)</f>
        <v>44</v>
      </c>
      <c r="L46" s="3">
        <f>ROUNDUP('Maximum FTE allowable'!N$34*$D46,0)</f>
        <v>15</v>
      </c>
      <c r="M46" s="3">
        <f>ROUNDUP('Maximum FTE allowable'!O$34*$D46,0)</f>
        <v>26</v>
      </c>
      <c r="N46" s="3">
        <f>ROUNDUP('Maximum FTE allowable'!P$34*$D46,0)</f>
        <v>25</v>
      </c>
      <c r="O46" s="3">
        <f>ROUNDUP('Maximum FTE allowable'!Q$34*$D46,0)</f>
        <v>26</v>
      </c>
      <c r="P46" s="3">
        <f>ROUNDUP('Maximum FTE allowable'!R$34*$D46,0)</f>
        <v>19</v>
      </c>
      <c r="Q46" s="3">
        <f>ROUNDUP('Maximum FTE allowable'!S$34*$D46,0)</f>
        <v>20</v>
      </c>
      <c r="R46" s="132">
        <f>ROUNDUP('Maximum FTE allowable'!T$34*$D46,0)</f>
        <v>28</v>
      </c>
    </row>
    <row r="47" spans="3:18" x14ac:dyDescent="0.2">
      <c r="C47" s="98" t="s">
        <v>129</v>
      </c>
      <c r="D47" s="165">
        <v>0.14699999999999999</v>
      </c>
      <c r="E47" s="3">
        <f>ROUNDUP('Maximum FTE allowable'!G$34*$D47,0)</f>
        <v>65</v>
      </c>
      <c r="F47" s="3">
        <f>ROUNDUP('Maximum FTE allowable'!H$34*$D47,0)</f>
        <v>27</v>
      </c>
      <c r="G47" s="3">
        <f>ROUNDUP('Maximum FTE allowable'!I$34*$D47,0)</f>
        <v>60</v>
      </c>
      <c r="H47" s="3">
        <f>ROUNDUP('Maximum FTE allowable'!J$34*$D47,0)</f>
        <v>52</v>
      </c>
      <c r="I47" s="3">
        <f>ROUNDUP('Maximum FTE allowable'!K$34*$D47,0)</f>
        <v>4</v>
      </c>
      <c r="J47" s="3">
        <f>ROUNDUP('Maximum FTE allowable'!L$34*$D47,0)</f>
        <v>32</v>
      </c>
      <c r="K47" s="3">
        <f>ROUNDUP('Maximum FTE allowable'!M$34*$D47,0)</f>
        <v>66</v>
      </c>
      <c r="L47" s="3">
        <f>ROUNDUP('Maximum FTE allowable'!N$34*$D47,0)</f>
        <v>23</v>
      </c>
      <c r="M47" s="3">
        <f>ROUNDUP('Maximum FTE allowable'!O$34*$D47,0)</f>
        <v>39</v>
      </c>
      <c r="N47" s="3">
        <f>ROUNDUP('Maximum FTE allowable'!P$34*$D47,0)</f>
        <v>37</v>
      </c>
      <c r="O47" s="3">
        <f>ROUNDUP('Maximum FTE allowable'!Q$34*$D47,0)</f>
        <v>38</v>
      </c>
      <c r="P47" s="3">
        <f>ROUNDUP('Maximum FTE allowable'!R$34*$D47,0)</f>
        <v>29</v>
      </c>
      <c r="Q47" s="3">
        <f>ROUNDUP('Maximum FTE allowable'!S$34*$D47,0)</f>
        <v>30</v>
      </c>
      <c r="R47" s="132">
        <f>ROUNDUP('Maximum FTE allowable'!T$34*$D47,0)</f>
        <v>42</v>
      </c>
    </row>
    <row r="48" spans="3:18" ht="13.5" thickBot="1" x14ac:dyDescent="0.25">
      <c r="C48" s="159" t="s">
        <v>130</v>
      </c>
      <c r="D48" s="335">
        <v>7.1999999999999995E-2</v>
      </c>
      <c r="E48" s="336">
        <f>ROUNDUP('Maximum FTE allowable'!G$34*$D48,0)</f>
        <v>32</v>
      </c>
      <c r="F48" s="336">
        <f>ROUNDUP('Maximum FTE allowable'!H$34*$D48,0)</f>
        <v>13</v>
      </c>
      <c r="G48" s="336">
        <f>ROUNDUP('Maximum FTE allowable'!I$34*$D48,0)</f>
        <v>30</v>
      </c>
      <c r="H48" s="336">
        <f>ROUNDUP('Maximum FTE allowable'!J$34*$D48,0)</f>
        <v>26</v>
      </c>
      <c r="I48" s="336">
        <f>ROUNDUP('Maximum FTE allowable'!K$34*$D48,0)</f>
        <v>2</v>
      </c>
      <c r="J48" s="336">
        <f>ROUNDUP('Maximum FTE allowable'!L$34*$D48,0)</f>
        <v>16</v>
      </c>
      <c r="K48" s="336">
        <f>ROUNDUP('Maximum FTE allowable'!M$34*$D48,0)</f>
        <v>32</v>
      </c>
      <c r="L48" s="336">
        <f>ROUNDUP('Maximum FTE allowable'!N$34*$D48,0)</f>
        <v>11</v>
      </c>
      <c r="M48" s="336">
        <f>ROUNDUP('Maximum FTE allowable'!O$34*$D48,0)</f>
        <v>19</v>
      </c>
      <c r="N48" s="336">
        <f>ROUNDUP('Maximum FTE allowable'!P$34*$D48,0)</f>
        <v>18</v>
      </c>
      <c r="O48" s="336">
        <f>ROUNDUP('Maximum FTE allowable'!Q$34*$D48,0)</f>
        <v>19</v>
      </c>
      <c r="P48" s="336">
        <f>ROUNDUP('Maximum FTE allowable'!R$34*$D48,0)</f>
        <v>14</v>
      </c>
      <c r="Q48" s="336">
        <f>ROUNDUP('Maximum FTE allowable'!S$34*$D48,0)</f>
        <v>15</v>
      </c>
      <c r="R48" s="337">
        <f>ROUNDUP('Maximum FTE allowable'!T$34*$D48,0)</f>
        <v>21</v>
      </c>
    </row>
    <row r="49" spans="3:3" x14ac:dyDescent="0.2">
      <c r="C49" s="257" t="s">
        <v>276</v>
      </c>
    </row>
    <row r="54" spans="3:3" ht="15" customHeight="1" x14ac:dyDescent="0.2"/>
  </sheetData>
  <mergeCells count="1">
    <mergeCell ref="C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79D5-B218-40C2-874F-F3768E964203}">
  <sheetPr codeName="Sheet2">
    <tabColor theme="7" tint="0.79998168889431442"/>
  </sheetPr>
  <dimension ref="B1:K72"/>
  <sheetViews>
    <sheetView topLeftCell="A26" zoomScale="145" zoomScaleNormal="145" workbookViewId="0">
      <selection activeCell="F43" sqref="F43"/>
    </sheetView>
  </sheetViews>
  <sheetFormatPr defaultRowHeight="12.75" x14ac:dyDescent="0.2"/>
  <cols>
    <col min="1" max="1" width="11.140625" customWidth="1"/>
    <col min="2" max="2" width="37.140625" customWidth="1"/>
    <col min="3" max="3" width="25.5703125" customWidth="1"/>
    <col min="4" max="4" width="32.140625" customWidth="1"/>
    <col min="5" max="5" width="12.5703125" customWidth="1"/>
    <col min="6" max="6" width="8.140625" customWidth="1"/>
    <col min="7" max="7" width="19" customWidth="1"/>
    <col min="8" max="8" width="14.7109375" customWidth="1"/>
    <col min="9" max="9" width="16" customWidth="1"/>
    <col min="10" max="10" width="17.85546875" customWidth="1"/>
    <col min="11" max="11" width="12" hidden="1" customWidth="1"/>
    <col min="13" max="13" width="5" customWidth="1"/>
  </cols>
  <sheetData>
    <row r="1" spans="2:10" ht="20.25" thickBot="1" x14ac:dyDescent="0.35">
      <c r="B1" s="171"/>
      <c r="C1" s="171"/>
      <c r="D1" s="171"/>
    </row>
    <row r="2" spans="2:10" ht="20.25" customHeight="1" thickTop="1" x14ac:dyDescent="0.2">
      <c r="B2" s="384" t="s">
        <v>193</v>
      </c>
      <c r="C2" s="385"/>
      <c r="D2" s="385"/>
    </row>
    <row r="3" spans="2:10" ht="14.45" customHeight="1" x14ac:dyDescent="0.2">
      <c r="B3" s="386"/>
      <c r="C3" s="386"/>
      <c r="D3" s="386"/>
      <c r="G3" s="1"/>
    </row>
    <row r="4" spans="2:10" ht="14.45" customHeight="1" x14ac:dyDescent="0.2"/>
    <row r="5" spans="2:10" ht="14.45" customHeight="1" x14ac:dyDescent="0.2"/>
    <row r="6" spans="2:10" ht="14.45" customHeight="1" x14ac:dyDescent="0.2"/>
    <row r="7" spans="2:10" ht="14.45" customHeight="1" x14ac:dyDescent="0.25">
      <c r="B7" s="380" t="s">
        <v>0</v>
      </c>
      <c r="C7" s="367"/>
      <c r="D7" s="367"/>
      <c r="E7" s="2"/>
      <c r="F7" s="2"/>
      <c r="G7" s="2"/>
      <c r="H7" s="3"/>
      <c r="I7" s="3"/>
      <c r="J7" s="3"/>
    </row>
    <row r="8" spans="2:10" ht="15.95" customHeight="1" x14ac:dyDescent="0.25">
      <c r="B8" s="4" t="s">
        <v>1</v>
      </c>
      <c r="C8" s="5" t="s">
        <v>2</v>
      </c>
      <c r="H8" s="3"/>
      <c r="I8" s="3"/>
      <c r="J8" s="3"/>
    </row>
    <row r="9" spans="2:10" ht="15" customHeight="1" x14ac:dyDescent="0.2">
      <c r="B9" s="6" t="s">
        <v>3</v>
      </c>
      <c r="C9" s="7">
        <v>0.2</v>
      </c>
    </row>
    <row r="10" spans="2:10" ht="15" customHeight="1" x14ac:dyDescent="0.2">
      <c r="B10" s="6" t="s">
        <v>4</v>
      </c>
      <c r="C10" s="7">
        <v>0.17</v>
      </c>
    </row>
    <row r="11" spans="2:10" ht="15" customHeight="1" x14ac:dyDescent="0.2">
      <c r="B11" s="6" t="s">
        <v>5</v>
      </c>
      <c r="C11" s="8">
        <v>1.4999999999999999E-2</v>
      </c>
    </row>
    <row r="12" spans="2:10" ht="15" customHeight="1" x14ac:dyDescent="0.2">
      <c r="C12" s="9"/>
    </row>
    <row r="13" spans="2:10" ht="15" customHeight="1" x14ac:dyDescent="0.25">
      <c r="B13" s="381" t="s">
        <v>6</v>
      </c>
      <c r="C13" s="381"/>
      <c r="D13" s="381"/>
    </row>
    <row r="14" spans="2:10" ht="15" customHeight="1" x14ac:dyDescent="0.25">
      <c r="B14" s="4" t="s">
        <v>7</v>
      </c>
      <c r="C14" s="5" t="s">
        <v>8</v>
      </c>
      <c r="D14" s="11" t="s">
        <v>9</v>
      </c>
    </row>
    <row r="15" spans="2:10" ht="15" customHeight="1" x14ac:dyDescent="0.2">
      <c r="B15" s="6" t="s">
        <v>10</v>
      </c>
      <c r="C15" s="12">
        <v>120</v>
      </c>
      <c r="D15" s="13">
        <f>C15/2080</f>
        <v>5.7692307692307696E-2</v>
      </c>
    </row>
    <row r="16" spans="2:10" ht="15" customHeight="1" x14ac:dyDescent="0.2">
      <c r="B16" s="6" t="s">
        <v>11</v>
      </c>
      <c r="C16" s="12">
        <v>88</v>
      </c>
      <c r="D16" s="13">
        <f t="shared" ref="D16:D17" si="0">C16/2080</f>
        <v>4.230769230769231E-2</v>
      </c>
    </row>
    <row r="17" spans="2:7" ht="15" customHeight="1" x14ac:dyDescent="0.2">
      <c r="B17" s="6" t="s">
        <v>12</v>
      </c>
      <c r="C17" s="12">
        <v>40</v>
      </c>
      <c r="D17" s="13">
        <f t="shared" si="0"/>
        <v>1.9230769230769232E-2</v>
      </c>
      <c r="F17" s="14"/>
      <c r="G17" s="1"/>
    </row>
    <row r="18" spans="2:7" x14ac:dyDescent="0.2">
      <c r="B18" s="6" t="s">
        <v>13</v>
      </c>
      <c r="C18" s="15">
        <f>3300+900</f>
        <v>4200</v>
      </c>
      <c r="D18" s="16"/>
    </row>
    <row r="21" spans="2:7" x14ac:dyDescent="0.2">
      <c r="C21" t="s">
        <v>14</v>
      </c>
    </row>
    <row r="22" spans="2:7" x14ac:dyDescent="0.2">
      <c r="B22" t="s">
        <v>15</v>
      </c>
      <c r="C22" s="17" t="s">
        <v>16</v>
      </c>
    </row>
    <row r="23" spans="2:7" x14ac:dyDescent="0.2">
      <c r="B23" t="s">
        <v>17</v>
      </c>
      <c r="C23" s="3">
        <v>0.5</v>
      </c>
    </row>
    <row r="24" spans="2:7" x14ac:dyDescent="0.2">
      <c r="B24" t="s">
        <v>18</v>
      </c>
      <c r="C24" s="18" t="s">
        <v>19</v>
      </c>
    </row>
    <row r="25" spans="2:7" ht="15.75" x14ac:dyDescent="0.25">
      <c r="B25" s="19"/>
      <c r="C25" s="19"/>
    </row>
    <row r="26" spans="2:7" ht="12.75" customHeight="1" x14ac:dyDescent="0.25">
      <c r="B26" s="382" t="s">
        <v>20</v>
      </c>
      <c r="C26" s="383"/>
    </row>
    <row r="27" spans="2:7" ht="4.5" customHeight="1" x14ac:dyDescent="0.2">
      <c r="B27" s="20"/>
      <c r="C27" s="21"/>
    </row>
    <row r="28" spans="2:7" ht="15" x14ac:dyDescent="0.25">
      <c r="B28" s="22" t="s">
        <v>285</v>
      </c>
      <c r="C28" s="23">
        <v>25</v>
      </c>
      <c r="D28" s="353"/>
      <c r="F28" s="25"/>
    </row>
    <row r="29" spans="2:7" ht="15" x14ac:dyDescent="0.25">
      <c r="B29" s="22" t="s">
        <v>286</v>
      </c>
      <c r="C29" s="23">
        <v>22.999999999999996</v>
      </c>
      <c r="D29" s="353"/>
      <c r="F29" s="25"/>
    </row>
    <row r="30" spans="2:7" ht="15" x14ac:dyDescent="0.25">
      <c r="B30" s="22" t="s">
        <v>287</v>
      </c>
      <c r="C30" s="26">
        <v>21</v>
      </c>
      <c r="D30" s="353"/>
      <c r="F30" s="25"/>
    </row>
    <row r="31" spans="2:7" ht="15" x14ac:dyDescent="0.25">
      <c r="B31" s="22" t="s">
        <v>288</v>
      </c>
      <c r="C31" s="26">
        <v>19</v>
      </c>
      <c r="D31" s="353"/>
      <c r="F31" s="25"/>
    </row>
    <row r="32" spans="2:7" ht="15" x14ac:dyDescent="0.25">
      <c r="B32" s="22" t="s">
        <v>289</v>
      </c>
      <c r="C32" s="26">
        <v>15</v>
      </c>
      <c r="D32" s="353"/>
      <c r="F32" s="25"/>
    </row>
    <row r="33" spans="2:6" ht="15" x14ac:dyDescent="0.25">
      <c r="B33" s="22" t="s">
        <v>290</v>
      </c>
      <c r="C33" s="26">
        <v>14</v>
      </c>
      <c r="D33" s="353"/>
      <c r="F33" s="25"/>
    </row>
    <row r="34" spans="2:6" ht="15" x14ac:dyDescent="0.25">
      <c r="B34" s="22" t="s">
        <v>291</v>
      </c>
      <c r="C34" s="26">
        <v>12</v>
      </c>
      <c r="D34" s="353"/>
      <c r="F34" s="25"/>
    </row>
    <row r="35" spans="2:6" ht="6.75" customHeight="1" x14ac:dyDescent="0.2">
      <c r="B35" s="28"/>
      <c r="C35" s="3"/>
    </row>
    <row r="36" spans="2:6" ht="15" x14ac:dyDescent="0.25">
      <c r="B36" s="22" t="s">
        <v>21</v>
      </c>
      <c r="C36" s="29"/>
      <c r="D36" s="24"/>
    </row>
    <row r="37" spans="2:6" ht="15" x14ac:dyDescent="0.25">
      <c r="B37" s="22" t="s">
        <v>22</v>
      </c>
      <c r="C37" s="29"/>
      <c r="D37" s="24"/>
    </row>
    <row r="38" spans="2:6" ht="15" x14ac:dyDescent="0.25">
      <c r="B38" s="22" t="s">
        <v>23</v>
      </c>
      <c r="C38" s="29"/>
      <c r="D38" s="24"/>
    </row>
    <row r="39" spans="2:6" x14ac:dyDescent="0.2">
      <c r="B39" s="22" t="s">
        <v>24</v>
      </c>
      <c r="C39" s="29"/>
      <c r="D39" s="27"/>
    </row>
    <row r="40" spans="2:6" ht="15" x14ac:dyDescent="0.25">
      <c r="B40" s="22" t="s">
        <v>25</v>
      </c>
      <c r="C40" s="29"/>
      <c r="D40" s="24"/>
    </row>
    <row r="41" spans="2:6" x14ac:dyDescent="0.2">
      <c r="B41" s="22"/>
      <c r="C41" s="29"/>
    </row>
    <row r="42" spans="2:6" ht="15" x14ac:dyDescent="0.25">
      <c r="B42" s="30"/>
      <c r="C42" s="31" t="s">
        <v>26</v>
      </c>
      <c r="D42" s="32" t="s">
        <v>27</v>
      </c>
    </row>
    <row r="43" spans="2:6" x14ac:dyDescent="0.2">
      <c r="B43" s="33" t="s">
        <v>28</v>
      </c>
      <c r="C43" s="34">
        <v>6</v>
      </c>
      <c r="D43" s="35" t="s">
        <v>29</v>
      </c>
    </row>
    <row r="44" spans="2:6" x14ac:dyDescent="0.2">
      <c r="B44" s="33" t="s">
        <v>282</v>
      </c>
      <c r="C44" s="326"/>
      <c r="D44" s="325"/>
    </row>
    <row r="45" spans="2:6" x14ac:dyDescent="0.2">
      <c r="B45" s="324" t="s">
        <v>30</v>
      </c>
      <c r="C45" s="34">
        <v>6</v>
      </c>
      <c r="D45" s="36" t="s">
        <v>31</v>
      </c>
    </row>
    <row r="46" spans="2:6" x14ac:dyDescent="0.2">
      <c r="B46" s="324" t="s">
        <v>34</v>
      </c>
      <c r="C46" s="38">
        <v>0.05</v>
      </c>
      <c r="D46" s="35" t="s">
        <v>35</v>
      </c>
    </row>
    <row r="47" spans="2:6" x14ac:dyDescent="0.2">
      <c r="B47" s="33" t="s">
        <v>32</v>
      </c>
      <c r="C47" s="37">
        <v>0.05</v>
      </c>
      <c r="D47" s="35" t="s">
        <v>33</v>
      </c>
    </row>
    <row r="48" spans="2:6" x14ac:dyDescent="0.2">
      <c r="B48" s="33" t="s">
        <v>36</v>
      </c>
      <c r="C48" s="39">
        <v>2.5</v>
      </c>
      <c r="D48" s="36" t="s">
        <v>37</v>
      </c>
    </row>
    <row r="49" spans="2:5" x14ac:dyDescent="0.2">
      <c r="B49" s="40" t="s">
        <v>38</v>
      </c>
      <c r="C49" s="41">
        <v>10</v>
      </c>
      <c r="D49" s="42" t="s">
        <v>39</v>
      </c>
    </row>
    <row r="51" spans="2:5" x14ac:dyDescent="0.2">
      <c r="B51" s="43" t="s">
        <v>40</v>
      </c>
    </row>
    <row r="53" spans="2:5" x14ac:dyDescent="0.2">
      <c r="B53" s="44" t="s">
        <v>41</v>
      </c>
      <c r="C53" s="3">
        <v>45</v>
      </c>
      <c r="D53" s="17" t="s">
        <v>42</v>
      </c>
    </row>
    <row r="54" spans="2:5" x14ac:dyDescent="0.2">
      <c r="B54" s="44"/>
      <c r="C54" s="3">
        <v>2</v>
      </c>
      <c r="D54" s="17" t="s">
        <v>43</v>
      </c>
    </row>
    <row r="57" spans="2:5" ht="15.75" thickBot="1" x14ac:dyDescent="0.3">
      <c r="B57" s="10" t="s">
        <v>44</v>
      </c>
      <c r="E57" s="45"/>
    </row>
    <row r="58" spans="2:5" x14ac:dyDescent="0.2">
      <c r="B58" s="46" t="s">
        <v>45</v>
      </c>
      <c r="C58" s="47">
        <v>29.62</v>
      </c>
      <c r="D58" s="48" t="s">
        <v>46</v>
      </c>
    </row>
    <row r="59" spans="2:5" x14ac:dyDescent="0.2">
      <c r="B59" s="49" t="s">
        <v>47</v>
      </c>
      <c r="C59" s="50">
        <v>2.1</v>
      </c>
      <c r="D59" s="51" t="s">
        <v>48</v>
      </c>
    </row>
    <row r="60" spans="2:5" x14ac:dyDescent="0.2">
      <c r="B60" s="49" t="s">
        <v>49</v>
      </c>
      <c r="C60" s="52">
        <v>53</v>
      </c>
      <c r="D60" s="51" t="s">
        <v>50</v>
      </c>
    </row>
    <row r="61" spans="2:5" x14ac:dyDescent="0.2">
      <c r="B61" s="49"/>
      <c r="C61" s="50"/>
      <c r="D61" s="51"/>
    </row>
    <row r="62" spans="2:5" x14ac:dyDescent="0.2">
      <c r="B62" s="49" t="s">
        <v>51</v>
      </c>
      <c r="C62" s="53">
        <v>86</v>
      </c>
      <c r="D62" s="54" t="s">
        <v>50</v>
      </c>
    </row>
    <row r="63" spans="2:5" x14ac:dyDescent="0.2">
      <c r="B63" s="55" t="s">
        <v>52</v>
      </c>
      <c r="C63" s="53">
        <v>210</v>
      </c>
      <c r="D63" s="56" t="s">
        <v>53</v>
      </c>
    </row>
    <row r="64" spans="2:5" x14ac:dyDescent="0.2">
      <c r="B64" s="57" t="s">
        <v>54</v>
      </c>
      <c r="C64" s="53">
        <v>86</v>
      </c>
      <c r="D64" s="54" t="s">
        <v>55</v>
      </c>
    </row>
    <row r="65" spans="2:7" x14ac:dyDescent="0.2">
      <c r="B65" s="58" t="s">
        <v>56</v>
      </c>
      <c r="C65" s="53">
        <v>55</v>
      </c>
      <c r="D65" s="54" t="s">
        <v>50</v>
      </c>
    </row>
    <row r="66" spans="2:7" x14ac:dyDescent="0.2">
      <c r="B66" s="58" t="s">
        <v>57</v>
      </c>
      <c r="C66" s="53">
        <f>342/12</f>
        <v>28.5</v>
      </c>
      <c r="D66" s="54" t="s">
        <v>58</v>
      </c>
    </row>
    <row r="67" spans="2:7" x14ac:dyDescent="0.2">
      <c r="B67" s="58"/>
      <c r="C67" s="53"/>
      <c r="D67" s="54"/>
    </row>
    <row r="68" spans="2:7" ht="15.75" x14ac:dyDescent="0.25">
      <c r="B68" s="58" t="s">
        <v>59</v>
      </c>
      <c r="C68" s="59">
        <f>C17/2080</f>
        <v>1.9230769230769232E-2</v>
      </c>
      <c r="D68" s="54" t="s">
        <v>60</v>
      </c>
      <c r="F68" s="2"/>
      <c r="G68" s="2"/>
    </row>
    <row r="69" spans="2:7" x14ac:dyDescent="0.2">
      <c r="B69" s="55" t="s">
        <v>61</v>
      </c>
      <c r="C69" s="53">
        <v>250</v>
      </c>
      <c r="D69" s="54" t="s">
        <v>62</v>
      </c>
    </row>
    <row r="70" spans="2:7" x14ac:dyDescent="0.2">
      <c r="B70" s="60"/>
      <c r="C70" s="61"/>
      <c r="D70" s="62"/>
    </row>
    <row r="71" spans="2:7" ht="13.5" thickBot="1" x14ac:dyDescent="0.25">
      <c r="B71" s="63" t="s">
        <v>63</v>
      </c>
      <c r="C71" s="64">
        <v>7.0000000000000007E-2</v>
      </c>
      <c r="D71" s="65" t="s">
        <v>64</v>
      </c>
    </row>
    <row r="72" spans="2:7" x14ac:dyDescent="0.2">
      <c r="B72" s="17"/>
    </row>
  </sheetData>
  <mergeCells count="4">
    <mergeCell ref="B7:D7"/>
    <mergeCell ref="B13:D13"/>
    <mergeCell ref="B26:C26"/>
    <mergeCell ref="B2:D3"/>
  </mergeCells>
  <phoneticPr fontId="16" type="noConversion"/>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96C0-799B-45FA-85A9-1A8D785401A0}">
  <sheetPr codeName="Sheet3">
    <tabColor theme="7" tint="0.79998168889431442"/>
  </sheetPr>
  <dimension ref="B1:R73"/>
  <sheetViews>
    <sheetView topLeftCell="A26" zoomScale="115" zoomScaleNormal="115" workbookViewId="0">
      <selection activeCell="E43" sqref="E43"/>
    </sheetView>
  </sheetViews>
  <sheetFormatPr defaultRowHeight="12.75" x14ac:dyDescent="0.2"/>
  <cols>
    <col min="1" max="1" width="6" customWidth="1"/>
    <col min="2" max="2" width="55.28515625" customWidth="1"/>
    <col min="3" max="3" width="23.140625" customWidth="1"/>
    <col min="4" max="4" width="20.42578125" customWidth="1"/>
    <col min="5" max="5" width="14.5703125" customWidth="1"/>
    <col min="6" max="6" width="14.85546875" customWidth="1"/>
    <col min="7" max="7" width="17" customWidth="1"/>
    <col min="8" max="8" width="18.85546875" customWidth="1"/>
    <col min="9" max="9" width="16" customWidth="1"/>
    <col min="10" max="10" width="12.140625" customWidth="1"/>
    <col min="11" max="11" width="16" customWidth="1"/>
    <col min="12" max="12" width="10.7109375" customWidth="1"/>
    <col min="13" max="13" width="10.5703125" customWidth="1"/>
    <col min="14" max="14" width="11.28515625" customWidth="1"/>
    <col min="15" max="15" width="14.140625" customWidth="1"/>
    <col min="16" max="16" width="11.42578125" customWidth="1"/>
  </cols>
  <sheetData>
    <row r="1" spans="2:10" ht="20.25" thickBot="1" x14ac:dyDescent="0.35">
      <c r="B1" s="387"/>
      <c r="C1" s="387"/>
      <c r="D1" s="387"/>
      <c r="E1" s="387"/>
      <c r="F1" s="387"/>
      <c r="G1" s="387"/>
      <c r="H1" s="387"/>
      <c r="I1" s="387"/>
      <c r="J1" s="387"/>
    </row>
    <row r="2" spans="2:10" ht="20.25" customHeight="1" thickTop="1" x14ac:dyDescent="0.2"/>
    <row r="3" spans="2:10" ht="14.45" customHeight="1" x14ac:dyDescent="0.2">
      <c r="I3" s="1"/>
    </row>
    <row r="4" spans="2:10" ht="15.75" customHeight="1" x14ac:dyDescent="0.2">
      <c r="C4" s="66" t="s">
        <v>65</v>
      </c>
    </row>
    <row r="5" spans="2:10" ht="15.75" customHeight="1" x14ac:dyDescent="0.2">
      <c r="B5" s="44" t="s">
        <v>18</v>
      </c>
      <c r="C5" s="67">
        <v>1</v>
      </c>
    </row>
    <row r="6" spans="2:10" ht="15.75" customHeight="1" x14ac:dyDescent="0.2">
      <c r="B6" s="68" t="s">
        <v>28</v>
      </c>
      <c r="C6" s="37">
        <f>'Per FTE cost'!C5/'Rate Assumption '!C43</f>
        <v>0.16666666666666666</v>
      </c>
    </row>
    <row r="7" spans="2:10" ht="15.75" customHeight="1" x14ac:dyDescent="0.2">
      <c r="C7" s="67"/>
    </row>
    <row r="8" spans="2:10" ht="15.75" customHeight="1" x14ac:dyDescent="0.2">
      <c r="B8" s="44" t="s">
        <v>15</v>
      </c>
      <c r="C8" s="67">
        <v>1</v>
      </c>
    </row>
    <row r="9" spans="2:10" ht="15.75" customHeight="1" x14ac:dyDescent="0.2">
      <c r="B9" s="68" t="s">
        <v>28</v>
      </c>
      <c r="C9" s="37">
        <f>C8/'Rate Assumption '!C43</f>
        <v>0.16666666666666666</v>
      </c>
    </row>
    <row r="10" spans="2:10" ht="15.75" customHeight="1" x14ac:dyDescent="0.2">
      <c r="B10" s="68"/>
      <c r="C10" s="67"/>
    </row>
    <row r="11" spans="2:10" ht="15.75" customHeight="1" x14ac:dyDescent="0.2">
      <c r="B11" s="68" t="s">
        <v>30</v>
      </c>
      <c r="C11" s="37">
        <f>(C9+C6)/'Rate Assumption '!C45</f>
        <v>5.5555555555555552E-2</v>
      </c>
    </row>
    <row r="12" spans="2:10" ht="15.75" customHeight="1" x14ac:dyDescent="0.2">
      <c r="B12" s="68" t="s">
        <v>36</v>
      </c>
      <c r="C12" s="37">
        <f>C11/'Rate Assumption '!C48</f>
        <v>2.222222222222222E-2</v>
      </c>
    </row>
    <row r="13" spans="2:10" ht="15.75" customHeight="1" x14ac:dyDescent="0.2">
      <c r="B13" s="68" t="s">
        <v>66</v>
      </c>
      <c r="C13" s="37">
        <f>ROUND(SUM(C5:C12)/'Rate Assumption '!C49,1)</f>
        <v>0.2</v>
      </c>
    </row>
    <row r="14" spans="2:10" ht="15.75" customHeight="1" x14ac:dyDescent="0.2">
      <c r="B14" s="44" t="s">
        <v>67</v>
      </c>
      <c r="C14" s="37">
        <v>0.05</v>
      </c>
    </row>
    <row r="15" spans="2:10" ht="15.75" customHeight="1" x14ac:dyDescent="0.2">
      <c r="B15" s="44" t="s">
        <v>68</v>
      </c>
      <c r="C15" s="69">
        <v>0.05</v>
      </c>
    </row>
    <row r="16" spans="2:10" ht="15.75" customHeight="1" x14ac:dyDescent="0.2">
      <c r="B16" s="68"/>
      <c r="C16" s="67"/>
    </row>
    <row r="17" spans="2:17" ht="15" x14ac:dyDescent="0.25">
      <c r="C17" s="106" t="s">
        <v>69</v>
      </c>
      <c r="D17" s="70" t="s">
        <v>70</v>
      </c>
      <c r="E17" s="71" t="s">
        <v>71</v>
      </c>
      <c r="F17" s="71" t="s">
        <v>72</v>
      </c>
      <c r="G17" s="71" t="s">
        <v>73</v>
      </c>
      <c r="H17" s="71" t="s">
        <v>74</v>
      </c>
      <c r="I17" s="72" t="s">
        <v>75</v>
      </c>
      <c r="J17" s="72" t="s">
        <v>76</v>
      </c>
      <c r="K17" s="72" t="s">
        <v>77</v>
      </c>
      <c r="L17" s="72" t="s">
        <v>78</v>
      </c>
      <c r="M17" s="72" t="s">
        <v>79</v>
      </c>
      <c r="N17" s="73" t="s">
        <v>80</v>
      </c>
      <c r="O17" s="74"/>
      <c r="P17" s="74"/>
    </row>
    <row r="19" spans="2:17" ht="9.75" customHeight="1" x14ac:dyDescent="0.2">
      <c r="B19" s="68"/>
      <c r="C19" s="37"/>
    </row>
    <row r="20" spans="2:17" ht="15" customHeight="1" x14ac:dyDescent="0.2">
      <c r="C20" s="75"/>
      <c r="D20" s="75"/>
      <c r="E20" s="75"/>
      <c r="F20" s="75"/>
      <c r="G20" s="75"/>
      <c r="H20" s="75"/>
      <c r="I20" s="75"/>
      <c r="J20" s="75"/>
      <c r="K20" s="75"/>
      <c r="L20" s="75"/>
      <c r="M20" s="75"/>
      <c r="N20" s="75"/>
      <c r="O20" s="75"/>
      <c r="P20" s="75"/>
    </row>
    <row r="21" spans="2:17" x14ac:dyDescent="0.2">
      <c r="B21" s="76" t="s">
        <v>284</v>
      </c>
      <c r="C21" s="77">
        <v>58266.666666666664</v>
      </c>
      <c r="D21" s="77">
        <v>58266.666666666664</v>
      </c>
      <c r="E21" s="77">
        <v>63366.666666666664</v>
      </c>
      <c r="F21" s="77">
        <v>63366.666666666664</v>
      </c>
      <c r="G21" s="77">
        <v>63366.666666666664</v>
      </c>
      <c r="H21" s="77">
        <v>63366.666666666664</v>
      </c>
      <c r="I21" s="77">
        <v>60260</v>
      </c>
      <c r="J21" s="77">
        <v>60260</v>
      </c>
      <c r="K21" s="77">
        <v>60260</v>
      </c>
      <c r="L21" s="77">
        <v>60260</v>
      </c>
      <c r="M21" s="77">
        <v>60260</v>
      </c>
      <c r="N21" s="77">
        <v>68300</v>
      </c>
      <c r="O21" s="77"/>
      <c r="P21" s="77"/>
      <c r="Q21" s="78"/>
    </row>
    <row r="22" spans="2:17" x14ac:dyDescent="0.2">
      <c r="B22" s="76" t="s">
        <v>110</v>
      </c>
      <c r="C22" s="77">
        <v>45900</v>
      </c>
      <c r="D22" s="77">
        <v>45900</v>
      </c>
      <c r="E22" s="77">
        <v>46933.333333333336</v>
      </c>
      <c r="F22" s="77">
        <v>46933.333333333336</v>
      </c>
      <c r="G22" s="77">
        <v>46933.333333333336</v>
      </c>
      <c r="H22" s="77">
        <v>46933.333333333336</v>
      </c>
      <c r="I22" s="77">
        <v>46540</v>
      </c>
      <c r="J22" s="77">
        <v>46540</v>
      </c>
      <c r="K22" s="77">
        <v>46540</v>
      </c>
      <c r="L22" s="77">
        <v>46540</v>
      </c>
      <c r="M22" s="77">
        <v>46540</v>
      </c>
      <c r="N22" s="77">
        <v>53000</v>
      </c>
      <c r="O22" s="77"/>
      <c r="P22" s="77"/>
      <c r="Q22" s="78"/>
    </row>
    <row r="23" spans="2:17" x14ac:dyDescent="0.2">
      <c r="B23" s="79" t="s">
        <v>28</v>
      </c>
      <c r="C23" s="77">
        <v>22335.555555555551</v>
      </c>
      <c r="D23" s="77">
        <v>22335.555555555551</v>
      </c>
      <c r="E23" s="77">
        <v>24290.555555555551</v>
      </c>
      <c r="F23" s="77">
        <v>24290.555555555551</v>
      </c>
      <c r="G23" s="77">
        <v>24290.555555555551</v>
      </c>
      <c r="H23" s="77">
        <v>24290.555555555551</v>
      </c>
      <c r="I23" s="77">
        <v>23099.666666666664</v>
      </c>
      <c r="J23" s="77">
        <v>23099.666666666664</v>
      </c>
      <c r="K23" s="77">
        <v>23099.666666666664</v>
      </c>
      <c r="L23" s="77">
        <v>23099.666666666664</v>
      </c>
      <c r="M23" s="77">
        <v>23099.666666666664</v>
      </c>
      <c r="N23" s="77">
        <v>26181.666666666664</v>
      </c>
      <c r="O23" s="77"/>
      <c r="P23" s="77"/>
      <c r="Q23" s="78"/>
    </row>
    <row r="24" spans="2:17" x14ac:dyDescent="0.2">
      <c r="B24" s="76" t="s">
        <v>283</v>
      </c>
      <c r="C24" s="329"/>
      <c r="D24" s="329"/>
      <c r="E24" s="329"/>
      <c r="F24" s="329"/>
      <c r="G24" s="329"/>
      <c r="H24" s="329"/>
      <c r="I24" s="329"/>
      <c r="J24" s="329"/>
      <c r="K24" s="329"/>
      <c r="L24" s="329"/>
      <c r="M24" s="329"/>
      <c r="N24" s="329"/>
      <c r="O24" s="77"/>
      <c r="P24" s="77"/>
      <c r="Q24" s="78"/>
    </row>
    <row r="25" spans="2:17" x14ac:dyDescent="0.2">
      <c r="B25" s="327" t="s">
        <v>30</v>
      </c>
      <c r="C25" s="77">
        <v>4280.9814814814808</v>
      </c>
      <c r="D25" s="77">
        <v>4280.9814814814808</v>
      </c>
      <c r="E25" s="77">
        <v>4655.6898148148139</v>
      </c>
      <c r="F25" s="77">
        <v>4655.6898148148139</v>
      </c>
      <c r="G25" s="77">
        <v>4655.6898148148139</v>
      </c>
      <c r="H25" s="77">
        <v>4655.6898148148139</v>
      </c>
      <c r="I25" s="77">
        <v>4427.4361111111111</v>
      </c>
      <c r="J25" s="77">
        <v>4427.4361111111111</v>
      </c>
      <c r="K25" s="77">
        <v>4427.4361111111111</v>
      </c>
      <c r="L25" s="77">
        <v>4427.4361111111111</v>
      </c>
      <c r="M25" s="77">
        <v>4427.4361111111111</v>
      </c>
      <c r="N25" s="77">
        <v>5018.1527777777774</v>
      </c>
      <c r="O25" s="77"/>
      <c r="P25" s="77"/>
      <c r="Q25" s="78"/>
    </row>
    <row r="26" spans="2:17" x14ac:dyDescent="0.2">
      <c r="B26" s="328" t="s">
        <v>81</v>
      </c>
      <c r="C26" s="77">
        <v>3852.8833333333332</v>
      </c>
      <c r="D26" s="77">
        <v>3852.8833333333332</v>
      </c>
      <c r="E26" s="77">
        <v>4190.1208333333334</v>
      </c>
      <c r="F26" s="77">
        <v>4190.1208333333334</v>
      </c>
      <c r="G26" s="77">
        <v>4190.1208333333334</v>
      </c>
      <c r="H26" s="77">
        <v>4190.1208333333334</v>
      </c>
      <c r="I26" s="77">
        <v>3984.6925000000006</v>
      </c>
      <c r="J26" s="77">
        <v>3984.6925000000006</v>
      </c>
      <c r="K26" s="77">
        <v>3984.6925000000006</v>
      </c>
      <c r="L26" s="77">
        <v>3984.6925000000006</v>
      </c>
      <c r="M26" s="77">
        <v>3984.6925000000006</v>
      </c>
      <c r="N26" s="77">
        <v>4516.3375000000005</v>
      </c>
      <c r="O26" s="77"/>
      <c r="P26" s="77"/>
      <c r="Q26" s="77"/>
    </row>
    <row r="27" spans="2:17" x14ac:dyDescent="0.2">
      <c r="B27" s="80" t="s">
        <v>36</v>
      </c>
      <c r="C27" s="77">
        <f t="shared" ref="C27:N27" si="0">(C21*1.728)*$C$12</f>
        <v>2237.4399999999996</v>
      </c>
      <c r="D27" s="77">
        <f t="shared" si="0"/>
        <v>2237.4399999999996</v>
      </c>
      <c r="E27" s="77">
        <f t="shared" si="0"/>
        <v>2433.2799999999997</v>
      </c>
      <c r="F27" s="77">
        <f t="shared" si="0"/>
        <v>2433.2799999999997</v>
      </c>
      <c r="G27" s="77">
        <f t="shared" si="0"/>
        <v>2433.2799999999997</v>
      </c>
      <c r="H27" s="77">
        <f t="shared" si="0"/>
        <v>2433.2799999999997</v>
      </c>
      <c r="I27" s="77">
        <f t="shared" si="0"/>
        <v>2313.9839999999999</v>
      </c>
      <c r="J27" s="77">
        <f t="shared" si="0"/>
        <v>2313.9839999999999</v>
      </c>
      <c r="K27" s="77">
        <f t="shared" si="0"/>
        <v>2313.9839999999999</v>
      </c>
      <c r="L27" s="77">
        <f t="shared" si="0"/>
        <v>2313.9839999999999</v>
      </c>
      <c r="M27" s="77">
        <f t="shared" si="0"/>
        <v>2313.9839999999999</v>
      </c>
      <c r="N27" s="77">
        <f t="shared" si="0"/>
        <v>2622.7199999999993</v>
      </c>
      <c r="O27" s="77"/>
      <c r="P27" s="77"/>
      <c r="Q27" s="78"/>
    </row>
    <row r="28" spans="2:17" x14ac:dyDescent="0.2">
      <c r="B28" s="80" t="s">
        <v>66</v>
      </c>
      <c r="C28" s="77">
        <v>9626.6666666666679</v>
      </c>
      <c r="D28" s="77">
        <v>9626.6666666666679</v>
      </c>
      <c r="E28" s="77">
        <v>10100</v>
      </c>
      <c r="F28" s="77">
        <v>10100</v>
      </c>
      <c r="G28" s="77">
        <v>10100</v>
      </c>
      <c r="H28" s="77">
        <v>10100</v>
      </c>
      <c r="I28" s="77">
        <v>9816</v>
      </c>
      <c r="J28" s="77">
        <v>9816</v>
      </c>
      <c r="K28" s="77">
        <v>9816</v>
      </c>
      <c r="L28" s="77">
        <v>9816</v>
      </c>
      <c r="M28" s="77">
        <v>9816</v>
      </c>
      <c r="N28" s="77">
        <v>10720</v>
      </c>
      <c r="O28" s="77"/>
      <c r="P28" s="77"/>
      <c r="Q28" s="78"/>
    </row>
    <row r="29" spans="2:17" x14ac:dyDescent="0.2">
      <c r="B29" s="44" t="s">
        <v>68</v>
      </c>
      <c r="C29" s="77">
        <f>$C$15*Wages!H6</f>
        <v>3852.8833333333332</v>
      </c>
      <c r="D29" s="77">
        <f t="shared" ref="D29:N29" si="1">$C$15*D21</f>
        <v>2913.3333333333335</v>
      </c>
      <c r="E29" s="77">
        <f t="shared" si="1"/>
        <v>3168.3333333333335</v>
      </c>
      <c r="F29" s="77">
        <f t="shared" si="1"/>
        <v>3168.3333333333335</v>
      </c>
      <c r="G29" s="77">
        <f t="shared" si="1"/>
        <v>3168.3333333333335</v>
      </c>
      <c r="H29" s="77">
        <f t="shared" si="1"/>
        <v>3168.3333333333335</v>
      </c>
      <c r="I29" s="77">
        <f t="shared" si="1"/>
        <v>3013</v>
      </c>
      <c r="J29" s="77">
        <f t="shared" si="1"/>
        <v>3013</v>
      </c>
      <c r="K29" s="77">
        <f t="shared" si="1"/>
        <v>3013</v>
      </c>
      <c r="L29" s="77">
        <f t="shared" si="1"/>
        <v>3013</v>
      </c>
      <c r="M29" s="77">
        <f t="shared" si="1"/>
        <v>3013</v>
      </c>
      <c r="N29" s="77">
        <f t="shared" si="1"/>
        <v>3415</v>
      </c>
      <c r="O29" s="77"/>
    </row>
    <row r="30" spans="2:17" x14ac:dyDescent="0.2">
      <c r="C30" s="3"/>
      <c r="Q30" s="78"/>
    </row>
    <row r="31" spans="2:17" x14ac:dyDescent="0.2">
      <c r="B31" s="81" t="s">
        <v>82</v>
      </c>
      <c r="C31" s="82">
        <f t="shared" ref="C31:N31" si="2">SUM(C21:C30)</f>
        <v>150353.077037037</v>
      </c>
      <c r="D31" s="82">
        <f t="shared" si="2"/>
        <v>149413.52703703701</v>
      </c>
      <c r="E31" s="82">
        <f t="shared" si="2"/>
        <v>159137.97953703703</v>
      </c>
      <c r="F31" s="82">
        <f t="shared" si="2"/>
        <v>159137.97953703703</v>
      </c>
      <c r="G31" s="82">
        <f t="shared" si="2"/>
        <v>159137.97953703703</v>
      </c>
      <c r="H31" s="82">
        <f t="shared" si="2"/>
        <v>159137.97953703703</v>
      </c>
      <c r="I31" s="82">
        <f t="shared" si="2"/>
        <v>153454.77927777776</v>
      </c>
      <c r="J31" s="82">
        <f t="shared" si="2"/>
        <v>153454.77927777776</v>
      </c>
      <c r="K31" s="82">
        <f t="shared" si="2"/>
        <v>153454.77927777776</v>
      </c>
      <c r="L31" s="82">
        <f t="shared" si="2"/>
        <v>153454.77927777776</v>
      </c>
      <c r="M31" s="82">
        <f t="shared" si="2"/>
        <v>153454.77927777776</v>
      </c>
      <c r="N31" s="82">
        <f t="shared" si="2"/>
        <v>173773.87694444443</v>
      </c>
      <c r="O31" s="82"/>
      <c r="P31" s="82"/>
      <c r="Q31" s="78"/>
    </row>
    <row r="32" spans="2:17" x14ac:dyDescent="0.2">
      <c r="B32" s="81"/>
      <c r="C32" s="82"/>
      <c r="D32" s="82"/>
      <c r="E32" s="82"/>
      <c r="F32" s="82"/>
      <c r="G32" s="82"/>
      <c r="H32" s="82"/>
      <c r="I32" s="82"/>
      <c r="J32" s="82"/>
      <c r="K32" s="82"/>
      <c r="L32" s="82"/>
      <c r="M32" s="82"/>
      <c r="N32" s="82"/>
      <c r="O32" s="82"/>
      <c r="P32" s="82"/>
      <c r="Q32" s="78"/>
    </row>
    <row r="33" spans="2:17" x14ac:dyDescent="0.2">
      <c r="B33" s="44" t="s">
        <v>317</v>
      </c>
      <c r="C33" s="82">
        <f>('Rate Assumption '!$C$54*('Rate Assumption '!$C$53/60)/2080)*C21*18.4</f>
        <v>773.15384615384608</v>
      </c>
      <c r="D33" s="82">
        <f>('Rate Assumption '!$C$54*('Rate Assumption '!$C$53/60)/2080)*D21*18.4</f>
        <v>773.15384615384608</v>
      </c>
      <c r="E33" s="82">
        <f>('Rate Assumption '!$C$54*('Rate Assumption '!$C$53/60)/2080)*E21*18.4</f>
        <v>840.82692307692309</v>
      </c>
      <c r="F33" s="82">
        <f>('Rate Assumption '!$C$54*('Rate Assumption '!$C$53/60)/2080)*F21*18.4</f>
        <v>840.82692307692309</v>
      </c>
      <c r="G33" s="82">
        <f>('Rate Assumption '!$C$54*('Rate Assumption '!$C$53/60)/2080)*G21*18.4</f>
        <v>840.82692307692309</v>
      </c>
      <c r="H33" s="82">
        <f>('Rate Assumption '!$C$54*('Rate Assumption '!$C$53/60)/2080)*H21*18.4</f>
        <v>840.82692307692309</v>
      </c>
      <c r="I33" s="82">
        <f>('Rate Assumption '!$C$54*('Rate Assumption '!$C$53/60)/2080)*I21*18.4</f>
        <v>799.60384615384612</v>
      </c>
      <c r="J33" s="82">
        <f>('Rate Assumption '!$C$54*('Rate Assumption '!$C$53/60)/2080)*J21*18.4</f>
        <v>799.60384615384612</v>
      </c>
      <c r="K33" s="82">
        <f>('Rate Assumption '!$C$54*('Rate Assumption '!$C$53/60)/2080)*K21*18.4</f>
        <v>799.60384615384612</v>
      </c>
      <c r="L33" s="82">
        <f>('Rate Assumption '!$C$54*('Rate Assumption '!$C$53/60)/2080)*L21*18.4</f>
        <v>799.60384615384612</v>
      </c>
      <c r="M33" s="82">
        <f>('Rate Assumption '!$C$54*('Rate Assumption '!$C$53/60)/2080)*M21*18.4</f>
        <v>799.60384615384612</v>
      </c>
      <c r="N33" s="82">
        <f>('Rate Assumption '!$C$54*('Rate Assumption '!$C$53/60)/2080)*N21*18.4</f>
        <v>906.28846153846143</v>
      </c>
      <c r="O33" s="82"/>
      <c r="P33" s="82"/>
      <c r="Q33" s="78"/>
    </row>
    <row r="34" spans="2:17" x14ac:dyDescent="0.2">
      <c r="B34" s="17"/>
      <c r="C34" s="83"/>
    </row>
    <row r="36" spans="2:17" ht="13.5" thickBot="1" x14ac:dyDescent="0.25">
      <c r="C36" s="66" t="s">
        <v>83</v>
      </c>
      <c r="D36" s="84"/>
    </row>
    <row r="37" spans="2:17" x14ac:dyDescent="0.2">
      <c r="B37" s="46" t="s">
        <v>45</v>
      </c>
      <c r="C37" s="53">
        <f>SUM(C5:C15)*100*'Rate Assumption '!C58</f>
        <v>8030.3111111111102</v>
      </c>
      <c r="E37" s="45"/>
      <c r="F37" s="45"/>
    </row>
    <row r="38" spans="2:17" x14ac:dyDescent="0.2">
      <c r="B38" s="49" t="s">
        <v>47</v>
      </c>
      <c r="C38" s="53">
        <f>'Rate Assumption '!C59*SUM('Per FTE cost'!C5:C15)*100*12</f>
        <v>6832</v>
      </c>
    </row>
    <row r="39" spans="2:17" x14ac:dyDescent="0.2">
      <c r="B39" s="49" t="s">
        <v>49</v>
      </c>
      <c r="C39" s="53">
        <f>'Rate Assumption '!C60*SUM(C5:C15)*12</f>
        <v>1724.2666666666664</v>
      </c>
    </row>
    <row r="40" spans="2:17" x14ac:dyDescent="0.2">
      <c r="B40" s="49"/>
      <c r="C40" s="53"/>
    </row>
    <row r="41" spans="2:17" x14ac:dyDescent="0.2">
      <c r="B41" s="49" t="s">
        <v>51</v>
      </c>
      <c r="C41" s="53">
        <f>'Rate Assumption '!C62*SUM(C5:C15)*12</f>
        <v>2797.8666666666663</v>
      </c>
      <c r="E41" s="17" t="s">
        <v>186</v>
      </c>
    </row>
    <row r="42" spans="2:17" x14ac:dyDescent="0.2">
      <c r="B42" s="55" t="s">
        <v>52</v>
      </c>
      <c r="C42" s="53">
        <f>'Rate Assumption '!C63*(SUM(C5:C15))</f>
        <v>569.33333333333326</v>
      </c>
    </row>
    <row r="43" spans="2:17" x14ac:dyDescent="0.2">
      <c r="B43" s="57" t="s">
        <v>54</v>
      </c>
      <c r="C43" s="53">
        <f>'Rate Assumption '!C64*SUM($C$5:$C$14)*12</f>
        <v>2746.2666666666664</v>
      </c>
    </row>
    <row r="44" spans="2:17" x14ac:dyDescent="0.2">
      <c r="B44" s="58" t="s">
        <v>56</v>
      </c>
      <c r="C44" s="53">
        <f>'Rate Assumption '!C65*SUM($C$5:$C$15)*12</f>
        <v>1789.333333333333</v>
      </c>
    </row>
    <row r="45" spans="2:17" x14ac:dyDescent="0.2">
      <c r="B45" s="58" t="s">
        <v>84</v>
      </c>
      <c r="C45" s="53">
        <f>12*'Rate Assumption '!C66</f>
        <v>342</v>
      </c>
    </row>
    <row r="46" spans="2:17" x14ac:dyDescent="0.2">
      <c r="B46" s="58"/>
      <c r="C46" s="53"/>
    </row>
    <row r="47" spans="2:17" x14ac:dyDescent="0.2">
      <c r="B47" s="58" t="s">
        <v>59</v>
      </c>
      <c r="C47" s="53">
        <f>(C21+C22+C23+C29+C25)*'Rate Assumption '!C68</f>
        <v>2589.1555199430195</v>
      </c>
    </row>
    <row r="48" spans="2:17" x14ac:dyDescent="0.2">
      <c r="B48" s="55" t="s">
        <v>61</v>
      </c>
      <c r="C48" s="53">
        <f>'Rate Assumption '!C69*('Per FTE cost'!C5+'Per FTE cost'!C8)</f>
        <v>500</v>
      </c>
    </row>
    <row r="49" spans="2:18" x14ac:dyDescent="0.2">
      <c r="B49" s="60"/>
      <c r="C49" s="61"/>
    </row>
    <row r="50" spans="2:18" ht="13.5" thickBot="1" x14ac:dyDescent="0.25">
      <c r="B50" s="85" t="s">
        <v>85</v>
      </c>
      <c r="C50" s="53">
        <f>SUM(C21:C28)*'Rate Assumption '!C71</f>
        <v>10255.013559259258</v>
      </c>
    </row>
    <row r="51" spans="2:18" ht="15" x14ac:dyDescent="0.25">
      <c r="B51" s="86" t="s">
        <v>86</v>
      </c>
      <c r="C51" s="87">
        <f>SUM(C37:C50)</f>
        <v>38175.546856980051</v>
      </c>
    </row>
    <row r="52" spans="2:18" ht="15.75" x14ac:dyDescent="0.25">
      <c r="G52" s="2"/>
      <c r="H52" s="2"/>
      <c r="I52" s="2"/>
    </row>
    <row r="53" spans="2:18" x14ac:dyDescent="0.2">
      <c r="B53" s="88" t="s">
        <v>87</v>
      </c>
      <c r="C53" s="89">
        <f>SUM(C57:C59,$C$51,C31)*0.05*'Rate Assumption '!$C$9</f>
        <v>2147.4059826438743</v>
      </c>
      <c r="D53" s="89">
        <f>SUM(D57:D59,$C$51,D31)*0.05*'Rate Assumption '!$C$9</f>
        <v>2137.0709326438746</v>
      </c>
      <c r="E53" s="89">
        <f>SUM(E57:E59,$C$51,E31)*0.05*'Rate Assumption '!$C$9</f>
        <v>2244.0399101438747</v>
      </c>
      <c r="F53" s="89">
        <f>SUM(F57:F59,$C$51,F31)*0.05*'Rate Assumption '!$C$9</f>
        <v>2244.0399101438747</v>
      </c>
      <c r="G53" s="89">
        <f>SUM(G57:G59,$C$51,G31)*0.05*'Rate Assumption '!$C$9</f>
        <v>2244.0399101438747</v>
      </c>
      <c r="H53" s="89">
        <f>SUM(H57:H59,$C$51,H31)*0.05*'Rate Assumption '!$C$9</f>
        <v>2244.0399101438747</v>
      </c>
      <c r="I53" s="89">
        <f>SUM(I57:I59,$C$51,I31)*0.05*'Rate Assumption '!$C$9</f>
        <v>2181.5247072920229</v>
      </c>
      <c r="J53" s="89">
        <f>SUM(J57:J59,$C$51,J31)*0.05*'Rate Assumption '!$C$9</f>
        <v>2181.5247072920229</v>
      </c>
      <c r="K53" s="89">
        <f>SUM(K57:K59,$C$51,K31)*0.05*'Rate Assumption '!$C$9</f>
        <v>2181.5247072920229</v>
      </c>
      <c r="L53" s="89">
        <f>SUM(L57:L59,$C$51,L31)*0.05*'Rate Assumption '!$C$9</f>
        <v>2181.5247072920229</v>
      </c>
      <c r="M53" s="89">
        <f>SUM(M57:M59,$C$51,M31)*0.05*'Rate Assumption '!$C$9</f>
        <v>2181.5247072920229</v>
      </c>
      <c r="N53" s="89">
        <f>SUM(N57:N59,$C$51,N31)*0.05*'Rate Assumption '!$C$9</f>
        <v>2405.0347816253561</v>
      </c>
    </row>
    <row r="54" spans="2:18" x14ac:dyDescent="0.2">
      <c r="B54" s="6" t="s">
        <v>4</v>
      </c>
      <c r="C54" s="83">
        <f>C31*'Rate Assumption '!$C$10</f>
        <v>25560.023096296292</v>
      </c>
      <c r="D54" s="83">
        <f>D31*'Rate Assumption '!$C$10</f>
        <v>25400.299596296292</v>
      </c>
      <c r="E54" s="83">
        <f>E31*'Rate Assumption '!$C$10</f>
        <v>27053.456521296295</v>
      </c>
      <c r="F54" s="83">
        <f>F31*'Rate Assumption '!$C$10</f>
        <v>27053.456521296295</v>
      </c>
      <c r="G54" s="83">
        <f>G31*'Rate Assumption '!$C$10</f>
        <v>27053.456521296295</v>
      </c>
      <c r="H54" s="83">
        <f>H31*'Rate Assumption '!$C$10</f>
        <v>27053.456521296295</v>
      </c>
      <c r="I54" s="83">
        <f>I31*'Rate Assumption '!$C$10</f>
        <v>26087.312477222222</v>
      </c>
      <c r="J54" s="83">
        <f>J31*'Rate Assumption '!$C$10</f>
        <v>26087.312477222222</v>
      </c>
      <c r="K54" s="83">
        <f>K31*'Rate Assumption '!$C$10</f>
        <v>26087.312477222222</v>
      </c>
      <c r="L54" s="83">
        <f>L31*'Rate Assumption '!$C$10</f>
        <v>26087.312477222222</v>
      </c>
      <c r="M54" s="83">
        <f>M31*'Rate Assumption '!$C$10</f>
        <v>26087.312477222222</v>
      </c>
      <c r="N54" s="83">
        <f>N31*'Rate Assumption '!$C$10</f>
        <v>29541.559080555555</v>
      </c>
    </row>
    <row r="55" spans="2:18" x14ac:dyDescent="0.2">
      <c r="B55" s="6" t="s">
        <v>5</v>
      </c>
      <c r="C55" s="90">
        <f>SUM($C$51,C57:C59,C31)*'Rate Assumption '!$C$11</f>
        <v>3221.1089739658109</v>
      </c>
      <c r="D55" s="90">
        <f>SUM($C$51,D57:D59,D31)*'Rate Assumption '!$C$11</f>
        <v>3205.6063989658114</v>
      </c>
      <c r="E55" s="90">
        <f>SUM($C$51,E57:E59,E31)*'Rate Assumption '!$C$11</f>
        <v>3366.0598652158119</v>
      </c>
      <c r="F55" s="90">
        <f>SUM($C$51,F57:F59,F31)*'Rate Assumption '!$C$11</f>
        <v>3366.0598652158119</v>
      </c>
      <c r="G55" s="90">
        <f>SUM($C$51,G57:G59,G31)*'Rate Assumption '!$C$11</f>
        <v>3366.0598652158119</v>
      </c>
      <c r="H55" s="90">
        <f>SUM($C$51,H57:H59,H31)*'Rate Assumption '!$C$11</f>
        <v>3366.0598652158119</v>
      </c>
      <c r="I55" s="90">
        <f>SUM($C$51,I57:I59,I31)*'Rate Assumption '!$C$11</f>
        <v>3272.2870609380338</v>
      </c>
      <c r="J55" s="90">
        <f>SUM($C$51,J57:J59,J31)*'Rate Assumption '!$C$11</f>
        <v>3272.2870609380338</v>
      </c>
      <c r="K55" s="90">
        <f>SUM($C$51,K57:K59,K31)*'Rate Assumption '!$C$11</f>
        <v>3272.2870609380338</v>
      </c>
      <c r="L55" s="90">
        <f>SUM($C$51,L57:L59,L31)*'Rate Assumption '!$C$11</f>
        <v>3272.2870609380338</v>
      </c>
      <c r="M55" s="90">
        <f>SUM($C$51,M57:M59,M31)*'Rate Assumption '!$C$11</f>
        <v>3272.2870609380338</v>
      </c>
      <c r="N55" s="90">
        <f>SUM($C$51,N57:N59,N31)*'Rate Assumption '!$C$11</f>
        <v>3607.5521724380337</v>
      </c>
    </row>
    <row r="56" spans="2:18" x14ac:dyDescent="0.2">
      <c r="C56" s="3"/>
      <c r="D56" s="3"/>
      <c r="E56" s="3"/>
      <c r="F56" s="3"/>
      <c r="G56" s="3"/>
      <c r="H56" s="3"/>
      <c r="I56" s="3"/>
      <c r="J56" s="3"/>
      <c r="K56" s="3"/>
      <c r="L56" s="3"/>
      <c r="M56" s="3"/>
      <c r="N56" s="3"/>
    </row>
    <row r="57" spans="2:18" x14ac:dyDescent="0.2">
      <c r="B57" t="s">
        <v>88</v>
      </c>
      <c r="C57" s="89">
        <f>SUM($C$5:$C$14)*'Rate Assumption '!$C$18</f>
        <v>11176.666666666666</v>
      </c>
      <c r="D57" s="89">
        <f>C57</f>
        <v>11176.666666666666</v>
      </c>
      <c r="E57" s="89">
        <f t="shared" ref="E57:N57" si="3">D57</f>
        <v>11176.666666666666</v>
      </c>
      <c r="F57" s="89">
        <f t="shared" si="3"/>
        <v>11176.666666666666</v>
      </c>
      <c r="G57" s="89">
        <f t="shared" si="3"/>
        <v>11176.666666666666</v>
      </c>
      <c r="H57" s="89">
        <f t="shared" si="3"/>
        <v>11176.666666666666</v>
      </c>
      <c r="I57" s="89">
        <f t="shared" si="3"/>
        <v>11176.666666666666</v>
      </c>
      <c r="J57" s="89">
        <f t="shared" si="3"/>
        <v>11176.666666666666</v>
      </c>
      <c r="K57" s="89">
        <f t="shared" si="3"/>
        <v>11176.666666666666</v>
      </c>
      <c r="L57" s="89">
        <f t="shared" si="3"/>
        <v>11176.666666666666</v>
      </c>
      <c r="M57" s="89">
        <f t="shared" si="3"/>
        <v>11176.666666666666</v>
      </c>
      <c r="N57" s="89">
        <f t="shared" si="3"/>
        <v>11176.666666666666</v>
      </c>
    </row>
    <row r="58" spans="2:18" x14ac:dyDescent="0.2">
      <c r="C58" s="3"/>
      <c r="D58" s="3"/>
      <c r="E58" s="3"/>
      <c r="F58" s="3"/>
      <c r="G58" s="3"/>
      <c r="H58" s="3"/>
      <c r="I58" s="3"/>
      <c r="J58" s="3"/>
      <c r="K58" s="3"/>
      <c r="L58" s="3"/>
      <c r="M58" s="3"/>
      <c r="N58" s="3"/>
    </row>
    <row r="59" spans="2:18" x14ac:dyDescent="0.2">
      <c r="B59" s="185" t="s">
        <v>89</v>
      </c>
      <c r="C59" s="186">
        <f>SUM(C21:C29)*('Rate Assumption '!$D$15+'Rate Assumption '!$D$16)</f>
        <v>15035.3077037037</v>
      </c>
      <c r="D59" s="186">
        <f>SUM(D21:D29)*('Rate Assumption '!$D$15+'Rate Assumption '!$D$16)</f>
        <v>14941.352703703702</v>
      </c>
      <c r="E59" s="186">
        <f>SUM(E21:E29)*('Rate Assumption '!$D$15+'Rate Assumption '!$D$16)</f>
        <v>15913.797953703703</v>
      </c>
      <c r="F59" s="186">
        <f>SUM(F21:F29)*('Rate Assumption '!$D$15+'Rate Assumption '!$D$16)</f>
        <v>15913.797953703703</v>
      </c>
      <c r="G59" s="186">
        <f>SUM(G21:G29)*('Rate Assumption '!$D$15+'Rate Assumption '!$D$16)</f>
        <v>15913.797953703703</v>
      </c>
      <c r="H59" s="186">
        <f>SUM(H21:H29)*('Rate Assumption '!$D$15+'Rate Assumption '!$D$16)</f>
        <v>15913.797953703703</v>
      </c>
      <c r="I59" s="186">
        <f>SUM(I21:I29)*('Rate Assumption '!$D$15+'Rate Assumption '!$D$16)</f>
        <v>15345.477927777778</v>
      </c>
      <c r="J59" s="186">
        <f>SUM(J21:J29)*('Rate Assumption '!$D$15+'Rate Assumption '!$D$16)</f>
        <v>15345.477927777778</v>
      </c>
      <c r="K59" s="186">
        <f>SUM(K21:K29)*('Rate Assumption '!$D$15+'Rate Assumption '!$D$16)</f>
        <v>15345.477927777778</v>
      </c>
      <c r="L59" s="186">
        <f>SUM(L21:L29)*('Rate Assumption '!$D$15+'Rate Assumption '!$D$16)</f>
        <v>15345.477927777778</v>
      </c>
      <c r="M59" s="186">
        <f>SUM(M21:M29)*('Rate Assumption '!$D$15+'Rate Assumption '!$D$16)</f>
        <v>15345.477927777778</v>
      </c>
      <c r="N59" s="186">
        <f>SUM(N21:N29)*('Rate Assumption '!$D$15+'Rate Assumption '!$D$16)</f>
        <v>17377.387694444446</v>
      </c>
    </row>
    <row r="60" spans="2:18" x14ac:dyDescent="0.2">
      <c r="C60" s="3"/>
      <c r="D60" s="3"/>
      <c r="E60" s="3"/>
      <c r="F60" s="3"/>
      <c r="G60" s="3"/>
      <c r="H60" s="3"/>
      <c r="I60" s="3"/>
      <c r="J60" s="3"/>
      <c r="K60" s="3"/>
      <c r="L60" s="3"/>
      <c r="M60" s="3"/>
      <c r="N60" s="3"/>
    </row>
    <row r="61" spans="2:18" x14ac:dyDescent="0.2">
      <c r="C61" s="3"/>
      <c r="D61" s="3"/>
      <c r="E61" s="3"/>
      <c r="F61" s="3"/>
      <c r="G61" s="3"/>
      <c r="H61" s="3"/>
      <c r="I61" s="3"/>
      <c r="J61" s="3"/>
      <c r="K61" s="3"/>
      <c r="L61" s="3"/>
      <c r="M61" s="3"/>
      <c r="N61" s="3"/>
    </row>
    <row r="62" spans="2:18" x14ac:dyDescent="0.2">
      <c r="B62" s="142" t="s">
        <v>90</v>
      </c>
      <c r="C62" s="82">
        <f t="shared" ref="C62:N62" si="4">C21+C33+((SUM(C23:C29)+$C$51+C57+C59+SUM(C53:C55))*0.5)</f>
        <v>129791.05533813388</v>
      </c>
      <c r="D62" s="82">
        <f t="shared" si="4"/>
        <v>129181.52227563391</v>
      </c>
      <c r="E62" s="82">
        <f t="shared" si="4"/>
        <v>137591.26724526531</v>
      </c>
      <c r="F62" s="82">
        <f t="shared" si="4"/>
        <v>137591.26724526531</v>
      </c>
      <c r="G62" s="82">
        <f t="shared" si="4"/>
        <v>137591.26724526531</v>
      </c>
      <c r="H62" s="82">
        <f t="shared" si="4"/>
        <v>137591.26724526531</v>
      </c>
      <c r="I62" s="82">
        <f t="shared" si="4"/>
        <v>132506.40133348113</v>
      </c>
      <c r="J62" s="82">
        <f t="shared" si="4"/>
        <v>132506.40133348113</v>
      </c>
      <c r="K62" s="82">
        <f t="shared" si="4"/>
        <v>132506.40133348113</v>
      </c>
      <c r="L62" s="82">
        <f t="shared" si="4"/>
        <v>132506.40133348113</v>
      </c>
      <c r="M62" s="82">
        <f t="shared" si="4"/>
        <v>132506.40133348113</v>
      </c>
      <c r="N62" s="82">
        <f t="shared" si="4"/>
        <v>146585.10056011574</v>
      </c>
      <c r="O62" s="77"/>
      <c r="P62" s="77"/>
      <c r="Q62" s="77"/>
      <c r="R62" s="92"/>
    </row>
    <row r="63" spans="2:18" x14ac:dyDescent="0.2">
      <c r="C63" s="77"/>
      <c r="D63" s="77"/>
      <c r="E63" s="77"/>
      <c r="F63" s="77"/>
      <c r="G63" s="77"/>
      <c r="H63" s="77"/>
      <c r="I63" s="77"/>
      <c r="J63" s="77"/>
      <c r="K63" s="77"/>
      <c r="L63" s="77"/>
      <c r="M63" s="77"/>
      <c r="N63" s="77"/>
      <c r="O63" s="77"/>
      <c r="P63" s="77"/>
      <c r="Q63" s="78"/>
    </row>
    <row r="64" spans="2:18" x14ac:dyDescent="0.2">
      <c r="B64" s="142" t="s">
        <v>91</v>
      </c>
      <c r="C64" s="82">
        <f t="shared" ref="C64:N64" si="5">C22+(SUM(C23:C29)+$C$51+C57+C59+SUM(C53:C55))*0.5</f>
        <v>116651.23482531338</v>
      </c>
      <c r="D64" s="82">
        <f t="shared" si="5"/>
        <v>116041.70176281339</v>
      </c>
      <c r="E64" s="82">
        <f t="shared" si="5"/>
        <v>120317.10698885506</v>
      </c>
      <c r="F64" s="82">
        <f t="shared" si="5"/>
        <v>120317.10698885506</v>
      </c>
      <c r="G64" s="82">
        <f t="shared" si="5"/>
        <v>120317.10698885506</v>
      </c>
      <c r="H64" s="82">
        <f t="shared" si="5"/>
        <v>120317.10698885506</v>
      </c>
      <c r="I64" s="82">
        <f t="shared" si="5"/>
        <v>117986.79748732728</v>
      </c>
      <c r="J64" s="82">
        <f t="shared" si="5"/>
        <v>117986.79748732728</v>
      </c>
      <c r="K64" s="82">
        <f t="shared" si="5"/>
        <v>117986.79748732728</v>
      </c>
      <c r="L64" s="82">
        <f t="shared" si="5"/>
        <v>117986.79748732728</v>
      </c>
      <c r="M64" s="82">
        <f t="shared" si="5"/>
        <v>117986.79748732728</v>
      </c>
      <c r="N64" s="82">
        <f t="shared" si="5"/>
        <v>130378.81209857727</v>
      </c>
      <c r="O64" s="77"/>
      <c r="P64" s="77"/>
      <c r="Q64" s="77"/>
      <c r="R64" s="92"/>
    </row>
    <row r="65" spans="2:17" x14ac:dyDescent="0.2">
      <c r="B65" s="17"/>
      <c r="C65" s="3"/>
      <c r="D65" s="3"/>
      <c r="E65" s="3"/>
      <c r="F65" s="3"/>
      <c r="G65" s="3"/>
      <c r="H65" s="3"/>
      <c r="I65" s="3"/>
      <c r="J65" s="3"/>
      <c r="K65" s="3"/>
      <c r="L65" s="3"/>
      <c r="M65" s="3"/>
      <c r="N65" s="3"/>
    </row>
    <row r="66" spans="2:17" x14ac:dyDescent="0.2">
      <c r="B66" s="91" t="s">
        <v>92</v>
      </c>
      <c r="C66" s="83">
        <f t="shared" ref="C66:M66" si="6">C64/2080</f>
        <v>56.082324435246818</v>
      </c>
      <c r="D66" s="83">
        <f t="shared" si="6"/>
        <v>55.789279693660283</v>
      </c>
      <c r="E66" s="83">
        <f t="shared" si="6"/>
        <v>57.844762975411086</v>
      </c>
      <c r="F66" s="83">
        <f t="shared" si="6"/>
        <v>57.844762975411086</v>
      </c>
      <c r="G66" s="83">
        <f t="shared" si="6"/>
        <v>57.844762975411086</v>
      </c>
      <c r="H66" s="83">
        <f t="shared" si="6"/>
        <v>57.844762975411086</v>
      </c>
      <c r="I66" s="83">
        <f t="shared" si="6"/>
        <v>56.724421868907342</v>
      </c>
      <c r="J66" s="83">
        <f t="shared" si="6"/>
        <v>56.724421868907342</v>
      </c>
      <c r="K66" s="83">
        <f t="shared" si="6"/>
        <v>56.724421868907342</v>
      </c>
      <c r="L66" s="83">
        <f t="shared" si="6"/>
        <v>56.724421868907342</v>
      </c>
      <c r="M66" s="83">
        <f t="shared" si="6"/>
        <v>56.724421868907342</v>
      </c>
      <c r="N66" s="83">
        <f>N64/2080</f>
        <v>62.68212120123907</v>
      </c>
      <c r="O66" s="92"/>
      <c r="P66" s="92"/>
      <c r="Q66" s="92"/>
    </row>
    <row r="67" spans="2:17" x14ac:dyDescent="0.2">
      <c r="B67" s="17"/>
      <c r="C67" s="17"/>
    </row>
    <row r="68" spans="2:17" x14ac:dyDescent="0.2">
      <c r="B68" s="17"/>
      <c r="C68" s="14"/>
    </row>
    <row r="69" spans="2:17" x14ac:dyDescent="0.2">
      <c r="B69" s="17"/>
    </row>
    <row r="70" spans="2:17" x14ac:dyDescent="0.2">
      <c r="B70" s="17"/>
    </row>
    <row r="71" spans="2:17" x14ac:dyDescent="0.2">
      <c r="B71" s="17"/>
    </row>
    <row r="72" spans="2:17" x14ac:dyDescent="0.2">
      <c r="B72" s="17"/>
    </row>
    <row r="73" spans="2:17" x14ac:dyDescent="0.2">
      <c r="B73" s="17"/>
    </row>
  </sheetData>
  <mergeCells count="1">
    <mergeCell ref="B1:J1"/>
  </mergeCell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DAEE-947D-481A-97AF-C384E9A80E34}">
  <sheetPr>
    <tabColor theme="7" tint="0.79998168889431442"/>
  </sheetPr>
  <dimension ref="C5:H24"/>
  <sheetViews>
    <sheetView workbookViewId="0">
      <selection activeCell="G35" sqref="G35"/>
    </sheetView>
  </sheetViews>
  <sheetFormatPr defaultRowHeight="12.75" x14ac:dyDescent="0.2"/>
  <cols>
    <col min="3" max="9" width="34.85546875" customWidth="1"/>
  </cols>
  <sheetData>
    <row r="5" spans="3:8" ht="30" x14ac:dyDescent="0.25">
      <c r="C5" s="105"/>
      <c r="D5" s="188" t="s">
        <v>205</v>
      </c>
      <c r="E5" s="188" t="s">
        <v>206</v>
      </c>
      <c r="F5" s="188" t="s">
        <v>207</v>
      </c>
      <c r="G5" s="104" t="s">
        <v>28</v>
      </c>
      <c r="H5" s="104" t="s">
        <v>208</v>
      </c>
    </row>
    <row r="6" spans="3:8" x14ac:dyDescent="0.2">
      <c r="C6" s="70" t="s">
        <v>69</v>
      </c>
      <c r="D6" s="189">
        <v>58266.666666666664</v>
      </c>
      <c r="E6" s="189">
        <v>45900</v>
      </c>
      <c r="F6" s="189">
        <v>48133.333333333336</v>
      </c>
      <c r="G6" s="90">
        <f t="shared" ref="G6:G17" si="0">D6*$G$21+D6</f>
        <v>67006.666666666657</v>
      </c>
      <c r="H6" s="90">
        <f t="shared" ref="H6:H17" si="1">G6*$G$21+G6</f>
        <v>77057.666666666657</v>
      </c>
    </row>
    <row r="7" spans="3:8" x14ac:dyDescent="0.2">
      <c r="C7" s="70" t="s">
        <v>70</v>
      </c>
      <c r="D7" s="189">
        <v>58266.666666666664</v>
      </c>
      <c r="E7" s="189">
        <v>45900</v>
      </c>
      <c r="F7" s="189">
        <v>48133.333333333336</v>
      </c>
      <c r="G7" s="90">
        <f t="shared" si="0"/>
        <v>67006.666666666657</v>
      </c>
      <c r="H7" s="90">
        <f t="shared" si="1"/>
        <v>77057.666666666657</v>
      </c>
    </row>
    <row r="8" spans="3:8" x14ac:dyDescent="0.2">
      <c r="C8" s="71" t="s">
        <v>71</v>
      </c>
      <c r="D8" s="189">
        <v>63366.666666666664</v>
      </c>
      <c r="E8" s="189">
        <v>46933.333333333336</v>
      </c>
      <c r="F8" s="189">
        <v>50500</v>
      </c>
      <c r="G8" s="90">
        <f t="shared" si="0"/>
        <v>72871.666666666657</v>
      </c>
      <c r="H8" s="90">
        <f t="shared" si="1"/>
        <v>83802.416666666657</v>
      </c>
    </row>
    <row r="9" spans="3:8" x14ac:dyDescent="0.2">
      <c r="C9" s="71" t="s">
        <v>72</v>
      </c>
      <c r="D9" s="189">
        <v>63366.666666666664</v>
      </c>
      <c r="E9" s="189">
        <v>46933.333333333336</v>
      </c>
      <c r="F9" s="189">
        <v>50500</v>
      </c>
      <c r="G9" s="90">
        <f t="shared" si="0"/>
        <v>72871.666666666657</v>
      </c>
      <c r="H9" s="90">
        <f t="shared" si="1"/>
        <v>83802.416666666657</v>
      </c>
    </row>
    <row r="10" spans="3:8" x14ac:dyDescent="0.2">
      <c r="C10" s="71" t="s">
        <v>73</v>
      </c>
      <c r="D10" s="189">
        <v>63366.666666666664</v>
      </c>
      <c r="E10" s="189">
        <v>46933.333333333336</v>
      </c>
      <c r="F10" s="189">
        <v>50500</v>
      </c>
      <c r="G10" s="90">
        <f t="shared" si="0"/>
        <v>72871.666666666657</v>
      </c>
      <c r="H10" s="90">
        <f t="shared" si="1"/>
        <v>83802.416666666657</v>
      </c>
    </row>
    <row r="11" spans="3:8" x14ac:dyDescent="0.2">
      <c r="C11" s="71" t="s">
        <v>74</v>
      </c>
      <c r="D11" s="189">
        <v>63366.666666666664</v>
      </c>
      <c r="E11" s="189">
        <v>46933.333333333336</v>
      </c>
      <c r="F11" s="189">
        <v>50500</v>
      </c>
      <c r="G11" s="90">
        <f t="shared" si="0"/>
        <v>72871.666666666657</v>
      </c>
      <c r="H11" s="90">
        <f t="shared" si="1"/>
        <v>83802.416666666657</v>
      </c>
    </row>
    <row r="12" spans="3:8" x14ac:dyDescent="0.2">
      <c r="C12" s="72" t="s">
        <v>75</v>
      </c>
      <c r="D12" s="189">
        <v>60260</v>
      </c>
      <c r="E12" s="189">
        <v>46540</v>
      </c>
      <c r="F12" s="189">
        <v>49080</v>
      </c>
      <c r="G12" s="90">
        <f t="shared" si="0"/>
        <v>69299</v>
      </c>
      <c r="H12" s="90">
        <f t="shared" si="1"/>
        <v>79693.850000000006</v>
      </c>
    </row>
    <row r="13" spans="3:8" x14ac:dyDescent="0.2">
      <c r="C13" s="72" t="s">
        <v>76</v>
      </c>
      <c r="D13" s="189">
        <v>60260</v>
      </c>
      <c r="E13" s="189">
        <v>46540</v>
      </c>
      <c r="F13" s="189">
        <v>49080</v>
      </c>
      <c r="G13" s="90">
        <f t="shared" si="0"/>
        <v>69299</v>
      </c>
      <c r="H13" s="90">
        <f t="shared" si="1"/>
        <v>79693.850000000006</v>
      </c>
    </row>
    <row r="14" spans="3:8" x14ac:dyDescent="0.2">
      <c r="C14" s="72" t="s">
        <v>77</v>
      </c>
      <c r="D14" s="189">
        <v>60260</v>
      </c>
      <c r="E14" s="189">
        <v>46540</v>
      </c>
      <c r="F14" s="189">
        <v>49080</v>
      </c>
      <c r="G14" s="90">
        <f t="shared" si="0"/>
        <v>69299</v>
      </c>
      <c r="H14" s="90">
        <f t="shared" si="1"/>
        <v>79693.850000000006</v>
      </c>
    </row>
    <row r="15" spans="3:8" x14ac:dyDescent="0.2">
      <c r="C15" s="72" t="s">
        <v>78</v>
      </c>
      <c r="D15" s="189">
        <v>60260</v>
      </c>
      <c r="E15" s="189">
        <v>46540</v>
      </c>
      <c r="F15" s="189">
        <v>49080</v>
      </c>
      <c r="G15" s="90">
        <f t="shared" si="0"/>
        <v>69299</v>
      </c>
      <c r="H15" s="90">
        <f t="shared" si="1"/>
        <v>79693.850000000006</v>
      </c>
    </row>
    <row r="16" spans="3:8" x14ac:dyDescent="0.2">
      <c r="C16" s="72" t="s">
        <v>79</v>
      </c>
      <c r="D16" s="189">
        <v>60260</v>
      </c>
      <c r="E16" s="189">
        <v>46540</v>
      </c>
      <c r="F16" s="189">
        <v>49080</v>
      </c>
      <c r="G16" s="90">
        <f t="shared" si="0"/>
        <v>69299</v>
      </c>
      <c r="H16" s="90">
        <f t="shared" si="1"/>
        <v>79693.850000000006</v>
      </c>
    </row>
    <row r="17" spans="3:8" ht="15" x14ac:dyDescent="0.25">
      <c r="C17" s="190" t="s">
        <v>80</v>
      </c>
      <c r="D17" s="189">
        <v>68300</v>
      </c>
      <c r="E17" s="189">
        <v>53000</v>
      </c>
      <c r="F17" s="189">
        <v>53600</v>
      </c>
      <c r="G17" s="90">
        <f t="shared" si="0"/>
        <v>78545</v>
      </c>
      <c r="H17" s="90">
        <f t="shared" si="1"/>
        <v>90326.75</v>
      </c>
    </row>
    <row r="19" spans="3:8" x14ac:dyDescent="0.2">
      <c r="C19" s="43" t="s">
        <v>213</v>
      </c>
    </row>
    <row r="21" spans="3:8" x14ac:dyDescent="0.2">
      <c r="C21" s="17" t="s">
        <v>209</v>
      </c>
      <c r="G21" s="187">
        <v>0.15</v>
      </c>
      <c r="H21" s="43" t="s">
        <v>204</v>
      </c>
    </row>
    <row r="22" spans="3:8" ht="15" x14ac:dyDescent="0.25">
      <c r="C22" s="191" t="s">
        <v>210</v>
      </c>
    </row>
    <row r="23" spans="3:8" x14ac:dyDescent="0.2">
      <c r="C23" t="s">
        <v>211</v>
      </c>
    </row>
    <row r="24" spans="3:8" x14ac:dyDescent="0.2">
      <c r="C24" t="s">
        <v>212</v>
      </c>
    </row>
  </sheetData>
  <hyperlinks>
    <hyperlink ref="C22" r:id="rId1" display="DocumentFormat.OpenXml.Packaging.HyperlinkRelationship" xr:uid="{50EB2519-E4B8-442F-A0F3-6AA1EFA628F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6AD9-D95E-4C71-80E2-37B2CA0FEC08}">
  <dimension ref="B3:C31"/>
  <sheetViews>
    <sheetView workbookViewId="0">
      <selection activeCell="T33" sqref="T33"/>
    </sheetView>
  </sheetViews>
  <sheetFormatPr defaultRowHeight="12.75" x14ac:dyDescent="0.2"/>
  <cols>
    <col min="2" max="2" width="10.140625" bestFit="1" customWidth="1"/>
  </cols>
  <sheetData>
    <row r="3" spans="2:3" x14ac:dyDescent="0.2">
      <c r="B3" s="193">
        <v>45441</v>
      </c>
      <c r="C3" s="17" t="s">
        <v>306</v>
      </c>
    </row>
    <row r="4" spans="2:3" x14ac:dyDescent="0.2">
      <c r="C4" s="17" t="s">
        <v>307</v>
      </c>
    </row>
    <row r="6" spans="2:3" x14ac:dyDescent="0.2">
      <c r="B6" s="193">
        <v>45479</v>
      </c>
      <c r="C6" s="17" t="s">
        <v>308</v>
      </c>
    </row>
    <row r="8" spans="2:3" x14ac:dyDescent="0.2">
      <c r="B8" s="193">
        <v>45469</v>
      </c>
      <c r="C8" t="s">
        <v>223</v>
      </c>
    </row>
    <row r="10" spans="2:3" x14ac:dyDescent="0.2">
      <c r="B10" s="193">
        <v>45519</v>
      </c>
      <c r="C10" t="s">
        <v>226</v>
      </c>
    </row>
    <row r="12" spans="2:3" x14ac:dyDescent="0.2">
      <c r="B12" s="193">
        <v>45560</v>
      </c>
      <c r="C12" s="17" t="s">
        <v>237</v>
      </c>
    </row>
    <row r="13" spans="2:3" x14ac:dyDescent="0.2">
      <c r="C13" s="17" t="s">
        <v>243</v>
      </c>
    </row>
    <row r="14" spans="2:3" x14ac:dyDescent="0.2">
      <c r="C14" s="17" t="s">
        <v>242</v>
      </c>
    </row>
    <row r="15" spans="2:3" x14ac:dyDescent="0.2">
      <c r="C15" s="17" t="s">
        <v>245</v>
      </c>
    </row>
    <row r="16" spans="2:3" x14ac:dyDescent="0.2">
      <c r="C16" s="17" t="s">
        <v>246</v>
      </c>
    </row>
    <row r="17" spans="2:3" x14ac:dyDescent="0.2">
      <c r="C17" s="17" t="s">
        <v>258</v>
      </c>
    </row>
    <row r="18" spans="2:3" x14ac:dyDescent="0.2">
      <c r="C18" s="17" t="s">
        <v>259</v>
      </c>
    </row>
    <row r="20" spans="2:3" x14ac:dyDescent="0.2">
      <c r="B20" s="193">
        <v>45639</v>
      </c>
      <c r="C20" s="17" t="s">
        <v>309</v>
      </c>
    </row>
    <row r="21" spans="2:3" x14ac:dyDescent="0.2">
      <c r="C21" s="17" t="s">
        <v>305</v>
      </c>
    </row>
    <row r="22" spans="2:3" x14ac:dyDescent="0.2">
      <c r="C22" s="17" t="s">
        <v>295</v>
      </c>
    </row>
    <row r="23" spans="2:3" x14ac:dyDescent="0.2">
      <c r="C23" s="17" t="s">
        <v>310</v>
      </c>
    </row>
    <row r="24" spans="2:3" x14ac:dyDescent="0.2">
      <c r="C24" s="17" t="s">
        <v>316</v>
      </c>
    </row>
    <row r="25" spans="2:3" x14ac:dyDescent="0.2">
      <c r="C25" s="17" t="s">
        <v>311</v>
      </c>
    </row>
    <row r="26" spans="2:3" x14ac:dyDescent="0.2">
      <c r="C26" s="17" t="s">
        <v>314</v>
      </c>
    </row>
    <row r="27" spans="2:3" x14ac:dyDescent="0.2">
      <c r="C27" s="17" t="s">
        <v>318</v>
      </c>
    </row>
    <row r="28" spans="2:3" x14ac:dyDescent="0.2">
      <c r="C28" s="17" t="s">
        <v>319</v>
      </c>
    </row>
    <row r="30" spans="2:3" x14ac:dyDescent="0.2">
      <c r="B30" s="361">
        <v>45721</v>
      </c>
    </row>
    <row r="31" spans="2:3" x14ac:dyDescent="0.2">
      <c r="C31" t="s">
        <v>323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AEB66EEED11049B30DBF924FDE0EB4" ma:contentTypeVersion="16" ma:contentTypeDescription="Create a new document." ma:contentTypeScope="" ma:versionID="9ac635bd01576f8021415081c24ca229">
  <xsd:schema xmlns:xsd="http://www.w3.org/2001/XMLSchema" xmlns:xs="http://www.w3.org/2001/XMLSchema" xmlns:p="http://schemas.microsoft.com/office/2006/metadata/properties" xmlns:ns1="http://schemas.microsoft.com/sharepoint/v3" xmlns:ns2="285ed1c6-8106-40aa-a234-540a13e15eea" xmlns:ns3="384926e5-6f68-4caa-ad6c-d74ba76f7324" targetNamespace="http://schemas.microsoft.com/office/2006/metadata/properties" ma:root="true" ma:fieldsID="02f65d8ef5a6d3759ef3923f603996c8" ns1:_="" ns2:_="" ns3:_="">
    <xsd:import namespace="http://schemas.microsoft.com/sharepoint/v3"/>
    <xsd:import namespace="285ed1c6-8106-40aa-a234-540a13e15eea"/>
    <xsd:import namespace="384926e5-6f68-4caa-ad6c-d74ba76f73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5ed1c6-8106-40aa-a234-540a13e15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4926e5-6f68-4caa-ad6c-d74ba76f73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82742e-aa00-4924-a754-ad5d6bbb48e9}" ma:internalName="TaxCatchAll" ma:showField="CatchAllData" ma:web="384926e5-6f68-4caa-ad6c-d74ba76f73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85ed1c6-8106-40aa-a234-540a13e15eea">
      <Terms xmlns="http://schemas.microsoft.com/office/infopath/2007/PartnerControls"/>
    </lcf76f155ced4ddcb4097134ff3c332f>
    <_ip_UnifiedCompliancePolicyProperties xmlns="http://schemas.microsoft.com/sharepoint/v3" xsi:nil="true"/>
    <TaxCatchAll xmlns="384926e5-6f68-4caa-ad6c-d74ba76f7324"/>
  </documentManagement>
</p:properties>
</file>

<file path=customXml/itemProps1.xml><?xml version="1.0" encoding="utf-8"?>
<ds:datastoreItem xmlns:ds="http://schemas.openxmlformats.org/officeDocument/2006/customXml" ds:itemID="{E4ED1AE3-E08B-486A-B2B5-CB5F35671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5ed1c6-8106-40aa-a234-540a13e15eea"/>
    <ds:schemaRef ds:uri="384926e5-6f68-4caa-ad6c-d74ba76f7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FCDA3C-FC22-4727-A18D-8EC2AB1614AE}">
  <ds:schemaRefs>
    <ds:schemaRef ds:uri="http://schemas.microsoft.com/sharepoint/v3/contenttype/forms"/>
  </ds:schemaRefs>
</ds:datastoreItem>
</file>

<file path=customXml/itemProps3.xml><?xml version="1.0" encoding="utf-8"?>
<ds:datastoreItem xmlns:ds="http://schemas.openxmlformats.org/officeDocument/2006/customXml" ds:itemID="{5D37B219-3A64-4105-8D2F-FE1AD2EF9681}">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384926e5-6f68-4caa-ad6c-d74ba76f7324"/>
    <ds:schemaRef ds:uri="285ed1c6-8106-40aa-a234-540a13e15eea"/>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Fee Table</vt:lpstr>
      <vt:lpstr>Fair Wages</vt:lpstr>
      <vt:lpstr>Ramp-up</vt:lpstr>
      <vt:lpstr>Start  Up</vt:lpstr>
      <vt:lpstr>Maximum FTE allowable</vt:lpstr>
      <vt:lpstr>FTE Planning</vt:lpstr>
      <vt:lpstr>Rate Assumption </vt:lpstr>
      <vt:lpstr>Per FTE cost</vt:lpstr>
      <vt:lpstr>Wages</vt:lpstr>
      <vt:lpstr>Updates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Tim (DCYF)</dc:creator>
  <cp:lastModifiedBy>Dolgash, Debbie (DCYF)</cp:lastModifiedBy>
  <dcterms:created xsi:type="dcterms:W3CDTF">2023-12-11T21:22:02Z</dcterms:created>
  <dcterms:modified xsi:type="dcterms:W3CDTF">2025-03-17T21:43:48Z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0x01010007AEB66EEED11049B30DBF924FDE0EB4</vt:lpwstr>
  </property>
</Properties>
</file>