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F:\interdev\pdf\dcyf\"/>
    </mc:Choice>
  </mc:AlternateContent>
  <xr:revisionPtr revIDLastSave="0" documentId="8_{0A326332-6D03-4143-9875-3EFDBD1552EA}" xr6:coauthVersionLast="47" xr6:coauthVersionMax="47" xr10:uidLastSave="{00000000-0000-0000-0000-000000000000}"/>
  <bookViews>
    <workbookView xWindow="30315" yWindow="1515" windowWidth="21600" windowHeight="11385" tabRatio="787" xr2:uid="{84B377CC-B209-49D7-BDBA-B36BE21B0006}"/>
  </bookViews>
  <sheets>
    <sheet name="Fee Table" sheetId="4" r:id="rId1"/>
    <sheet name="Fair Wages" sheetId="5" r:id="rId2"/>
    <sheet name="EPS Cost Assumptions" sheetId="1" r:id="rId3"/>
    <sheet name="Summary" sheetId="3" r:id="rId4"/>
    <sheet name="Directcare Schedule" sheetId="2" r:id="rId5"/>
    <sheet name="Updates" sheetId="6" r:id="rId6"/>
  </sheets>
  <externalReferences>
    <externalReference r:id="rId7"/>
    <externalReference r:id="rId8"/>
    <externalReference r:id="rId9"/>
    <externalReference r:id="rId10"/>
    <externalReference r:id="rId11"/>
    <externalReference r:id="rId12"/>
  </externalReferences>
  <definedNames>
    <definedName name="AdminFTE">'[1]P&amp;L'!#REF!</definedName>
    <definedName name="AdminHr">[1]Assumptions!$D$27</definedName>
    <definedName name="AdminHrs">'[2]QRTP Assumptions'!#REF!</definedName>
    <definedName name="AdminOther">'[3]P&amp;L'!#REF!</definedName>
    <definedName name="AdminRate">[1]Assumptions!$C$27</definedName>
    <definedName name="AvgMonthlyRent">[1]Assumptions!#REF!</definedName>
    <definedName name="AvgRent">'[1]P&amp;L'!$B$19</definedName>
    <definedName name="Beds">'EPS Cost Assumptions'!$B$6</definedName>
    <definedName name="bedss">'[4]ALPT Rate Model'!$B$4</definedName>
    <definedName name="Benefits">[1]Assumptions!#REF!</definedName>
    <definedName name="BenefitsCost">'[1]P&amp;L'!#REF!</definedName>
    <definedName name="BOAssumption">[1]Assumptions!#REF!</definedName>
    <definedName name="book">[1]Assumptions!$B$42</definedName>
    <definedName name="bookyr">[1]Assumptions!$C$42</definedName>
    <definedName name="Clinical">'[1]P&amp;L'!#REF!</definedName>
    <definedName name="ClinicalFTE">'[1]P&amp;L'!#REF!</definedName>
    <definedName name="ClinicalHr">[1]Assumptions!#REF!</definedName>
    <definedName name="ClinicalHrs">[1]Assumptions!#REF!</definedName>
    <definedName name="ClinicalRate">[1]Assumptions!#REF!</definedName>
    <definedName name="Clothing">[1]Assumptions!$B$47</definedName>
    <definedName name="clothingyr">[1]Assumptions!$C$47</definedName>
    <definedName name="CommunityHr">[1]Assumptions!#REF!</definedName>
    <definedName name="CompensationMonthly">'[1]P&amp;L'!$B$4</definedName>
    <definedName name="CompMonthly">[1]Assumptions!$B$10</definedName>
    <definedName name="CompYear">'[1]P&amp;L'!$C$4</definedName>
    <definedName name="craft">[1]Assumptions!$B$51</definedName>
    <definedName name="craftyr">[1]Assumptions!$C$51</definedName>
    <definedName name="DATATYPEVal">[5]Validation!$C$2:$C$3</definedName>
    <definedName name="DayDirectFTE">'[1]P&amp;L'!#REF!</definedName>
    <definedName name="DayDirectHr">[1]Assumptions!$D$24</definedName>
    <definedName name="DayDirectHrs">[1]Assumptions!$C$24</definedName>
    <definedName name="DayDirectStaff">[1]Assumptions!$B$24</definedName>
    <definedName name="DirectCare">'[2]P&amp;L'!$B$37</definedName>
    <definedName name="DirectCareCoverage">[1]Assumptions!$B$26</definedName>
    <definedName name="DirectCareFTE">'[1]P&amp;L'!#REF!</definedName>
    <definedName name="DirectCareHr">[1]Assumptions!$D$23</definedName>
    <definedName name="DirectCareHrs">[1]Assumptions!$C$26</definedName>
    <definedName name="DirectCareSup">'[1]P&amp;L'!#REF!</definedName>
    <definedName name="DirectCareSup2">'[1]P&amp;L'!#REF!</definedName>
    <definedName name="DirectorHrsPerMonth">'[1]P&amp;L'!#REF!</definedName>
    <definedName name="DirectorHrsPerMonths">'[1]P&amp;L'!#REF!</definedName>
    <definedName name="DirectorWage">[1]Assumptions!#REF!</definedName>
    <definedName name="DirectorWagess">[1]Assumptions!#REF!</definedName>
    <definedName name="Edu">[1]Assumptions!#REF!</definedName>
    <definedName name="EducationMonthly">[1]Assumptions!#REF!</definedName>
    <definedName name="EducationMonthlys">[1]Assumptions!#REF!</definedName>
    <definedName name="EduMonthly">'[1]P&amp;L'!#REF!</definedName>
    <definedName name="Edus">[1]Assumptions!#REF!</definedName>
    <definedName name="EmpAds">[1]Assumptions!#REF!</definedName>
    <definedName name="EmplymentAds">[1]Assumptions!#REF!</definedName>
    <definedName name="EmplymentAdss">[1]Assumptions!#REF!</definedName>
    <definedName name="EmpsAdss">[1]Assumptions!#REF!</definedName>
    <definedName name="Exechr">[1]Assumptions!$D$21</definedName>
    <definedName name="ExecHrs">[1]Assumptions!$C$21</definedName>
    <definedName name="ExecManage">[1]Assumptions!#REF!</definedName>
    <definedName name="ExecManages">[1]Assumptions!#REF!</definedName>
    <definedName name="execmonthly">'[1]P&amp;L'!$B$34</definedName>
    <definedName name="ExecNorthwest">'[1]Cost of Living'!#REF!</definedName>
    <definedName name="ExecNorthwests">'[1]Cost of Living'!#REF!</definedName>
    <definedName name="ExecRate">'[2]QRTP Assumptions'!#REF!</definedName>
    <definedName name="ExecRates">'[2]QRTP Assumptions'!#REF!</definedName>
    <definedName name="ExecSnowhomish">'[1]Cost of Living'!#REF!</definedName>
    <definedName name="ExecSnowhomishs">'[1]Cost of Living'!#REF!</definedName>
    <definedName name="Fed">'[1]P&amp;L'!#REF!</definedName>
    <definedName name="Feds">'[1]P&amp;L'!#REF!</definedName>
    <definedName name="FedTax">[1]Assumptions!$B$34</definedName>
    <definedName name="food">[1]Assumptions!$B$49</definedName>
    <definedName name="foodyr">[1]Assumptions!$C$49</definedName>
    <definedName name="FTEDirector">'[1]P&amp;L'!#REF!</definedName>
    <definedName name="FTEDirectors">'[1]P&amp;L'!#REF!</definedName>
    <definedName name="Funds">[6]Data!$B$83:$B$101</definedName>
    <definedName name="Insurance">[1]Assumptions!$B$41</definedName>
    <definedName name="InsuranceYr">'[1]P&amp;L'!$C$9</definedName>
    <definedName name="Legal">[1]Assumptions!$B$43</definedName>
    <definedName name="LevelValidation">[5]Validation!$A$2:$A$3</definedName>
    <definedName name="License">[1]Assumptions!$B$44</definedName>
    <definedName name="LicenseCost">'[1]P&amp;L'!$C$12</definedName>
    <definedName name="List10">#REF!</definedName>
    <definedName name="list2">#REF!</definedName>
    <definedName name="list3">#REF!</definedName>
    <definedName name="List5">#REF!</definedName>
    <definedName name="list6">#REF!</definedName>
    <definedName name="MaintenanceMonthly">'[1]P&amp;L'!#REF!</definedName>
    <definedName name="MaintenanceMonthlys">'[1]P&amp;L'!#REF!</definedName>
    <definedName name="MaintenanceYr">'[1]P&amp;L'!#REF!</definedName>
    <definedName name="MaintenanceYrs">'[1]P&amp;L'!#REF!</definedName>
    <definedName name="Manage">'[1]P&amp;L'!#REF!</definedName>
    <definedName name="ManageFTE">'[1]P&amp;L'!#REF!</definedName>
    <definedName name="ManageFTEs\">'[1]P&amp;L'!#REF!</definedName>
    <definedName name="ManageHrsMonth">[1]Assumptions!#REF!</definedName>
    <definedName name="ManageHrsMonths">[1]Assumptions!#REF!</definedName>
    <definedName name="ManageRate">[1]Assumptions!#REF!</definedName>
    <definedName name="ManageRates">[1]Assumptions!#REF!</definedName>
    <definedName name="ManagerHr">[1]Assumptions!$D$22</definedName>
    <definedName name="Manages">'[1]P&amp;L'!#REF!</definedName>
    <definedName name="ManagesFTEs">'[1]P&amp;L'!#REF!</definedName>
    <definedName name="ManagesFTEs\s">'[1]P&amp;L'!#REF!</definedName>
    <definedName name="Marketing">[1]Assumptions!#REF!</definedName>
    <definedName name="Med">'[1]P&amp;L'!#REF!</definedName>
    <definedName name="MedAssistants">'[1]P&amp;L'!#REF!</definedName>
    <definedName name="MedAssitants">'[1]P&amp;L'!#REF!</definedName>
    <definedName name="MedHrs">[1]Assumptions!#REF!</definedName>
    <definedName name="medicalequipment">[1]Assumptions!$B$48</definedName>
    <definedName name="MedRate">[1]Assumptions!#REF!</definedName>
    <definedName name="Meds">'[1]P&amp;L'!#REF!</definedName>
    <definedName name="medyrcost">[1]Assumptions!$C$48</definedName>
    <definedName name="Office">[1]Assumptions!$B$45</definedName>
    <definedName name="OfficeYr">'[1]P&amp;L'!$C$13</definedName>
    <definedName name="OvernightFTE">'[1]P&amp;L'!#REF!</definedName>
    <definedName name="OvernightHr">[1]Assumptions!$D$25</definedName>
    <definedName name="OvernightStaff">[1]Assumptions!$B$25</definedName>
    <definedName name="OvernightStaffHrs">[1]Assumptions!$C$25</definedName>
    <definedName name="Payroll">'[1]P&amp;L'!#REF!</definedName>
    <definedName name="PayTax">[1]Assumptions!$B$35</definedName>
    <definedName name="PDHrs">'[2]QRTP Assumptions'!#REF!</definedName>
    <definedName name="PdHrsMonth">[1]Assumptions!$C$22</definedName>
    <definedName name="PrintedMat">[1]Assumptions!#REF!</definedName>
    <definedName name="profyr">[1]Assumptions!$C$43</definedName>
    <definedName name="ProgramDirector">'[2]P&amp;L'!$B$36</definedName>
    <definedName name="ReliefHr">[1]Assumptions!$D$26</definedName>
    <definedName name="Rent">[1]Assumptions!#REF!</definedName>
    <definedName name="Repairs">[1]Assumptions!$B$46</definedName>
    <definedName name="RepairsYr">'[1]P&amp;L'!$C$14</definedName>
    <definedName name="Revenue">'[1]P&amp;L'!#REF!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Summary!$C$36</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3799</definedName>
    <definedName name="solver_ver" localSheetId="3" hidden="1">3</definedName>
    <definedName name="SqfeetpriceCOLI">[1]Assumptions!$B$59</definedName>
    <definedName name="SqFtPrice">[1]Assumptions!#REF!</definedName>
    <definedName name="SqrFt">[1]Assumptions!#REF!</definedName>
    <definedName name="ss">[1]Assumptions!#REF!</definedName>
    <definedName name="SupervisorHrs">[1]Assumptions!$C$23</definedName>
    <definedName name="SupervisorRate">[1]Assumptions!$B$23</definedName>
    <definedName name="TotalMarket">'[2]QRTP Assumptions'!#REF!</definedName>
    <definedName name="TotalMarketCost">'[1]P&amp;L'!$B$20</definedName>
    <definedName name="TotalWageCostYr">'[1]P&amp;L'!$C$44</definedName>
    <definedName name="TotalWageMonthly">'[1]P&amp;L'!$B$44</definedName>
    <definedName name="TypeValidation">[5]Validation!$B$2:$B$7</definedName>
    <definedName name="Utilities">[1]Assumptions!$B$52</definedName>
    <definedName name="UtilitiesYr">'[1]P&amp;L'!$C$15</definedName>
    <definedName name="Vehicle">[1]Assumptions!$B$40</definedName>
    <definedName name="VehicleYr">'[1]P&amp;L'!$C$8</definedName>
    <definedName name="W_A_B_O_">'[1]P&amp;L'!#REF!</definedName>
    <definedName name="WA_B_O_Taxs">[1]Assumptions!$B$36</definedName>
    <definedName name="WA_BO_Tax">[1]Assumptions!#REF!</definedName>
    <definedName name="WA_BO_Taxes">[1]Assumptions!#REF!</definedName>
    <definedName name="WABO">[1]Assumptions!#REF!</definedName>
    <definedName name="WABOTax">'[1]P&amp;L'!#REF!</definedName>
    <definedName name="Washington_B_O_Tax">[1]Assumptions!#REF!</definedName>
    <definedName name="YrsEdu">'[1]P&amp;L'!#REF!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 l="1"/>
  <c r="B44" i="1"/>
  <c r="C44" i="1" s="1"/>
  <c r="E11" i="5"/>
  <c r="G11" i="5" s="1"/>
  <c r="E12" i="5"/>
  <c r="E13" i="5"/>
  <c r="E14" i="5"/>
  <c r="E15" i="5"/>
  <c r="E16" i="5"/>
  <c r="E17" i="5"/>
  <c r="G17" i="5" s="1"/>
  <c r="E18" i="5"/>
  <c r="G18" i="5" s="1"/>
  <c r="E19" i="5"/>
  <c r="E20" i="5"/>
  <c r="E21" i="5"/>
  <c r="E22" i="5"/>
  <c r="E10" i="5"/>
  <c r="D11" i="5"/>
  <c r="D12" i="5"/>
  <c r="D13" i="5"/>
  <c r="D14" i="5"/>
  <c r="D15" i="5"/>
  <c r="D16" i="5"/>
  <c r="D17" i="5"/>
  <c r="D18" i="5"/>
  <c r="D19" i="5"/>
  <c r="G19" i="5" s="1"/>
  <c r="D20" i="5"/>
  <c r="D21" i="5"/>
  <c r="G21" i="5" s="1"/>
  <c r="D22" i="5"/>
  <c r="G22" i="5" s="1"/>
  <c r="D10" i="5"/>
  <c r="G10" i="5" s="1"/>
  <c r="G20" i="5" l="1"/>
  <c r="G16" i="5"/>
  <c r="G15" i="5"/>
  <c r="G14" i="5"/>
  <c r="G13" i="5"/>
  <c r="G12" i="5"/>
  <c r="B10" i="3"/>
  <c r="B9" i="3"/>
  <c r="B8" i="3"/>
  <c r="B7" i="3"/>
  <c r="B6" i="3"/>
  <c r="B5" i="3"/>
  <c r="B4" i="3"/>
  <c r="C50" i="2"/>
  <c r="C49" i="2"/>
  <c r="C48" i="2"/>
  <c r="F30" i="2"/>
  <c r="F31" i="2" s="1"/>
  <c r="F32" i="2" s="1"/>
  <c r="E30" i="2"/>
  <c r="E31" i="2" s="1"/>
  <c r="E32" i="2" s="1"/>
  <c r="D30" i="2"/>
  <c r="D59" i="1"/>
  <c r="C58" i="1"/>
  <c r="C57" i="1"/>
  <c r="C56" i="1"/>
  <c r="C55" i="1"/>
  <c r="C54" i="1"/>
  <c r="C53" i="1"/>
  <c r="C52" i="1"/>
  <c r="C51" i="1"/>
  <c r="C50" i="1"/>
  <c r="C49" i="1"/>
  <c r="C48" i="1"/>
  <c r="D43" i="1"/>
  <c r="B33" i="1"/>
  <c r="E32" i="1"/>
  <c r="D32" i="1"/>
  <c r="B32" i="1" s="1"/>
  <c r="B31" i="1"/>
  <c r="B19" i="1"/>
  <c r="C18" i="1"/>
  <c r="C17" i="1"/>
  <c r="C16" i="1"/>
  <c r="F17" i="5" l="1"/>
  <c r="F18" i="5"/>
  <c r="F19" i="5"/>
  <c r="F20" i="5"/>
  <c r="F21" i="5"/>
  <c r="F22" i="5"/>
  <c r="F13" i="5"/>
  <c r="F15" i="5"/>
  <c r="F16" i="5"/>
  <c r="F10" i="5"/>
  <c r="F12" i="5"/>
  <c r="F14" i="5"/>
  <c r="F11" i="5"/>
  <c r="C4" i="3"/>
  <c r="E4" i="3" s="1"/>
  <c r="C5" i="3"/>
  <c r="E5" i="3" s="1"/>
  <c r="C6" i="3"/>
  <c r="E6" i="3" s="1"/>
  <c r="B37" i="1"/>
  <c r="C10" i="3" s="1"/>
  <c r="E10" i="3" s="1"/>
  <c r="G30" i="2"/>
  <c r="B36" i="1"/>
  <c r="D36" i="1" s="1"/>
  <c r="D45" i="1"/>
  <c r="D31" i="2"/>
  <c r="D32" i="2" s="1"/>
  <c r="D34" i="2" s="1"/>
  <c r="E33" i="2"/>
  <c r="C38" i="2" s="1"/>
  <c r="E34" i="2"/>
  <c r="F33" i="2"/>
  <c r="C41" i="2" s="1"/>
  <c r="F34" i="2"/>
  <c r="C59" i="1"/>
  <c r="G32" i="2" l="1"/>
  <c r="D33" i="2"/>
  <c r="G33" i="2" s="1"/>
  <c r="C9" i="3"/>
  <c r="E9" i="3" s="1"/>
  <c r="G31" i="2"/>
  <c r="G34" i="2"/>
  <c r="C37" i="2" l="1"/>
  <c r="C39" i="2"/>
  <c r="B34" i="1" s="1"/>
  <c r="D34" i="1" s="1"/>
  <c r="C7" i="3" l="1"/>
  <c r="E7" i="3" s="1"/>
  <c r="D35" i="1"/>
  <c r="B35" i="1" s="1"/>
  <c r="C42" i="1"/>
  <c r="C45" i="1" l="1"/>
  <c r="C43" i="1"/>
  <c r="D38" i="1"/>
  <c r="C47" i="1"/>
  <c r="C8" i="3"/>
  <c r="B38" i="1"/>
  <c r="C18" i="3" l="1"/>
  <c r="E18" i="3" s="1"/>
  <c r="E8" i="3"/>
  <c r="E11" i="3" s="1"/>
  <c r="G9" i="3" s="1"/>
  <c r="C11" i="3"/>
  <c r="C15" i="3" l="1"/>
  <c r="C14" i="3"/>
  <c r="C13" i="3"/>
  <c r="C16" i="3" l="1"/>
  <c r="G10" i="3" s="1"/>
  <c r="E13" i="3"/>
  <c r="E14" i="3"/>
  <c r="E15" i="3"/>
  <c r="E16" i="3" l="1"/>
  <c r="C20" i="3"/>
  <c r="C21" i="3" l="1"/>
  <c r="D6" i="3"/>
  <c r="D10" i="3"/>
  <c r="D5" i="3"/>
  <c r="D4" i="3"/>
  <c r="D9" i="3"/>
  <c r="D7" i="3"/>
  <c r="D18" i="3"/>
  <c r="D8" i="3"/>
  <c r="D13" i="3"/>
  <c r="D14" i="3"/>
  <c r="D15" i="3"/>
  <c r="C21" i="4" l="1"/>
  <c r="C23" i="4"/>
  <c r="C9" i="4" s="1"/>
  <c r="C8" i="4"/>
  <c r="D16" i="3"/>
  <c r="D11" i="3"/>
</calcChain>
</file>

<file path=xl/sharedStrings.xml><?xml version="1.0" encoding="utf-8"?>
<sst xmlns="http://schemas.openxmlformats.org/spreadsheetml/2006/main" count="169" uniqueCount="141">
  <si>
    <t>Assumptions: The following are used to drive the model and may be changed here to impact the modeling.</t>
  </si>
  <si>
    <t>Number of Beds:</t>
  </si>
  <si>
    <t xml:space="preserve">Taxes </t>
  </si>
  <si>
    <t>Type of Taxes</t>
  </si>
  <si>
    <t>Yearly</t>
  </si>
  <si>
    <t>Notes</t>
  </si>
  <si>
    <t xml:space="preserve">Federal </t>
  </si>
  <si>
    <t>Payroll Taxes</t>
  </si>
  <si>
    <t>Washington B&amp;O Tax</t>
  </si>
  <si>
    <t xml:space="preserve">                                                </t>
  </si>
  <si>
    <t>Benefits and Training</t>
  </si>
  <si>
    <t>Type of Benefits</t>
  </si>
  <si>
    <t>Hours or Dollars (Yearly)</t>
  </si>
  <si>
    <t>% of 2080 Hrs (Yearly)</t>
  </si>
  <si>
    <t>PTO - 120 hrs yearly</t>
  </si>
  <si>
    <t>Holliday - 88 hrs yearly</t>
  </si>
  <si>
    <t>Training - 40 hrs yearly</t>
  </si>
  <si>
    <t>Staff Health, Dental, Vision Insurance per FTE per year</t>
  </si>
  <si>
    <t xml:space="preserve">Professional Development </t>
  </si>
  <si>
    <t>Staff to Kid Ratio</t>
  </si>
  <si>
    <t>Shifts</t>
  </si>
  <si>
    <t>Ratio</t>
  </si>
  <si>
    <t>Daytime Staff (8AM to Midnight)</t>
  </si>
  <si>
    <t>1:3</t>
  </si>
  <si>
    <t>1 DCS 8AM to 5pm + 1 PM; 2 DCS 5pm to Midnight</t>
  </si>
  <si>
    <t>Overnight (Midnight to 7AM)</t>
  </si>
  <si>
    <t>2 DCS Midnight to 7AM</t>
  </si>
  <si>
    <t>Weekend</t>
  </si>
  <si>
    <t>2 DCS 8AM to Midnight</t>
  </si>
  <si>
    <t>Staff Costs</t>
  </si>
  <si>
    <t>Position</t>
  </si>
  <si>
    <t># of Hrs/Month</t>
  </si>
  <si>
    <t>Hourly Rate</t>
  </si>
  <si>
    <t>Total FTE</t>
  </si>
  <si>
    <t>Based on 2080 Working Hr Per Year Calculation. Paid Time Off (PTO), Holiday are included for all positions, DCS PTO, holidays and training are calculated Separately as "Direct Care Staff (DCS) Benefits/Relief Coverage</t>
  </si>
  <si>
    <t>Executive*</t>
  </si>
  <si>
    <t>Directors*</t>
  </si>
  <si>
    <t xml:space="preserve">1:6 supervision </t>
  </si>
  <si>
    <t>Program Management/Direct Care Supervisor*</t>
  </si>
  <si>
    <t>Direct Care PTO/Holliday Coverage</t>
  </si>
  <si>
    <t>Administrative</t>
  </si>
  <si>
    <t>.5 hour per youth per week</t>
  </si>
  <si>
    <t>Maintenance Staff Expense</t>
  </si>
  <si>
    <t>Sub-Total</t>
  </si>
  <si>
    <t>Overhead Costs</t>
  </si>
  <si>
    <t>Cost Items</t>
  </si>
  <si>
    <t>Monthly</t>
  </si>
  <si>
    <t>$</t>
  </si>
  <si>
    <t>Contract required Staff, Training, &amp; Certificates</t>
  </si>
  <si>
    <t>Scaled to staffing</t>
  </si>
  <si>
    <t>Per FTE Per Year</t>
  </si>
  <si>
    <t xml:space="preserve">Car &amp; Truck Expenses </t>
  </si>
  <si>
    <t>Staff Health Insurance</t>
  </si>
  <si>
    <t>Per FTE per year</t>
  </si>
  <si>
    <t>Insurance (except health)</t>
  </si>
  <si>
    <t>Bookkeeping Services</t>
  </si>
  <si>
    <t>Scale to staffing</t>
  </si>
  <si>
    <t>Attorney/CPA</t>
  </si>
  <si>
    <t>Fixed cost</t>
  </si>
  <si>
    <t>Licenses &amp; Permits</t>
  </si>
  <si>
    <t>Office Expense</t>
  </si>
  <si>
    <t>per Bed per month</t>
  </si>
  <si>
    <t>Basic Clothing Necessities*</t>
  </si>
  <si>
    <t>Medical Equipment</t>
  </si>
  <si>
    <t>Food &amp; Beverage</t>
  </si>
  <si>
    <t>Child/Youth Incidentals, activities &amp; supplies**</t>
  </si>
  <si>
    <t>Utilities (phone,electric,cable)*</t>
  </si>
  <si>
    <t>Recruitment Employment Ads</t>
  </si>
  <si>
    <t>Staff Equipment</t>
  </si>
  <si>
    <t>Rental Costs*</t>
  </si>
  <si>
    <t xml:space="preserve">regionalized </t>
  </si>
  <si>
    <t>Additional Notes</t>
  </si>
  <si>
    <t>Funding that can only be implemented with new Contract requirement*</t>
  </si>
  <si>
    <t>Direct Care Staffing Schedule</t>
  </si>
  <si>
    <t>Shift Start Time</t>
  </si>
  <si>
    <t>Weekday staff (Not including PM/Supervisor)</t>
  </si>
  <si>
    <t>Weekends</t>
  </si>
  <si>
    <t>Overnight</t>
  </si>
  <si>
    <t>AM</t>
  </si>
  <si>
    <t>PM</t>
  </si>
  <si>
    <t>AM (Overnight)</t>
  </si>
  <si>
    <t>Sum of hours</t>
  </si>
  <si>
    <t>x # of Days (weekly)</t>
  </si>
  <si>
    <t>x 52 (annual)</t>
  </si>
  <si>
    <t>/ 12 (monthly)</t>
  </si>
  <si>
    <t>FTE 2080</t>
  </si>
  <si>
    <t>Monthly Hours For Assumption Calculation</t>
  </si>
  <si>
    <t>Weekday</t>
  </si>
  <si>
    <t>Daytime Total</t>
  </si>
  <si>
    <t>weekday + weekend</t>
  </si>
  <si>
    <t>Night</t>
  </si>
  <si>
    <t xml:space="preserve">Coverage </t>
  </si>
  <si>
    <t>% of Monthly Costs</t>
  </si>
  <si>
    <t>Personnel</t>
  </si>
  <si>
    <t>Federal Tax Rate</t>
  </si>
  <si>
    <t>Overhead</t>
  </si>
  <si>
    <t>EPS Program Costs</t>
  </si>
  <si>
    <t>EPS Per bed Rate (Monthly)</t>
  </si>
  <si>
    <t>WA-State Average</t>
  </si>
  <si>
    <t>WASHINGTON STATE DEPARTMENT OF CHILDREN, YOUTH, AND FAMILIES</t>
  </si>
  <si>
    <t>Emergency Placement Services - Published Rates</t>
  </si>
  <si>
    <t>Direct Care Staff</t>
  </si>
  <si>
    <t xml:space="preserve">Direct Care staff Yearly Wages and Benefits </t>
  </si>
  <si>
    <t>Regions</t>
  </si>
  <si>
    <t>Portion of DCS to all staff</t>
  </si>
  <si>
    <t>portion of  bed dependent costs of all costs</t>
  </si>
  <si>
    <t>Snohomish</t>
  </si>
  <si>
    <t>Northwest</t>
  </si>
  <si>
    <t>Olympic</t>
  </si>
  <si>
    <t>Pacific-Mountain</t>
  </si>
  <si>
    <t>Seattle-King</t>
  </si>
  <si>
    <t>Tacoma-Pierce</t>
  </si>
  <si>
    <t>Southwest</t>
  </si>
  <si>
    <t>North-Central</t>
  </si>
  <si>
    <t>South-Central</t>
  </si>
  <si>
    <t>Eastern</t>
  </si>
  <si>
    <t>Benton-Franklin</t>
  </si>
  <si>
    <t>Spokane</t>
  </si>
  <si>
    <t>Yearly PTO</t>
  </si>
  <si>
    <t>Base Hourly Wages*</t>
  </si>
  <si>
    <t xml:space="preserve">*Wage per Hour with Estimated 5% Wage Inflation Modifier as of 10/17/23. Wages are capped at WA-State average. </t>
  </si>
  <si>
    <t>WA-State average</t>
  </si>
  <si>
    <t>Yearly Holidays</t>
  </si>
  <si>
    <t>Health Yearly</t>
  </si>
  <si>
    <t>Monthly filled bed portions</t>
  </si>
  <si>
    <t xml:space="preserve">Fixed Slot Payment </t>
  </si>
  <si>
    <t>Monthly Base Rate per Bed</t>
  </si>
  <si>
    <t>Monthly Occupancy Rate per Bed</t>
  </si>
  <si>
    <t>Miles per month per youth at OFM mileage Per Diem Rate 2023. 250 Miles per youth</t>
  </si>
  <si>
    <t>Avg Yearly Wage and benefits</t>
  </si>
  <si>
    <t>Daily Occupancy Rate per Bed</t>
  </si>
  <si>
    <t xml:space="preserve">Standard Payment </t>
  </si>
  <si>
    <t>Adjusted Daily Occupancy Rate</t>
  </si>
  <si>
    <t xml:space="preserve">Daily Occupancy </t>
  </si>
  <si>
    <t>Effective , November 1 2024</t>
  </si>
  <si>
    <t>Added hourly 1:1 supervision rate</t>
  </si>
  <si>
    <t>Extra Supervision - Hourly Rate</t>
  </si>
  <si>
    <t>Per fete</t>
  </si>
  <si>
    <t>Higher Maintenance due to emergency status placement</t>
  </si>
  <si>
    <t>Facility Repairs materials</t>
  </si>
  <si>
    <t>Holiday - 88 hrs yearly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</si>
</sst>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
    <numFmt numFmtId="167" formatCode="_(&quot;$&quot;* #,##0_);_(&quot;$&quot;* \(#,##0\);_(&quot;$&quot;* &quot;-&quot;??_);_(@_)"/>
    <numFmt numFmtId="168" formatCode="hh:mm"/>
    <numFmt numFmtId="169" formatCode="0.000"/>
    <numFmt numFmtId="170" formatCode="&quot;$&quot;#,##0"/>
  </numFmts>
  <fonts count="24" x14ac:knownFonts="1">
    <font>
      <sz val="11"/>
      <color theme="1"/>
      <name val="Aptos Narrow"/>
      <family val="2"/>
      <scheme val="minor"/>
    </font>
    <font>
      <sz val="11"/>
      <color theme="1"/>
      <name val="Aptos Narrow"/>
      <family val="2"/>
      <scheme val="minor"/>
    </font>
    <font>
      <b/>
      <sz val="15"/>
      <color theme="3"/>
      <name val="Aptos Narrow"/>
      <family val="2"/>
      <scheme val="minor"/>
    </font>
    <font>
      <sz val="11"/>
      <color rgb="FF9C5700"/>
      <name val="Aptos Narrow"/>
      <family val="2"/>
      <scheme val="minor"/>
    </font>
    <font>
      <b/>
      <sz val="11"/>
      <color theme="1"/>
      <name val="Aptos Narrow"/>
      <family val="2"/>
      <scheme val="minor"/>
    </font>
    <font>
      <u/>
      <sz val="11"/>
      <color theme="10"/>
      <name val="Aptos Narrow"/>
      <family val="2"/>
      <scheme val="minor"/>
    </font>
    <font>
      <b/>
      <sz val="14"/>
      <color theme="1"/>
      <name val="Aptos Narrow"/>
      <family val="2"/>
      <scheme val="minor"/>
    </font>
    <font>
      <sz val="12"/>
      <color theme="1"/>
      <name val="Aptos Narrow"/>
      <family val="2"/>
      <scheme val="minor"/>
    </font>
    <font>
      <sz val="13"/>
      <color theme="1"/>
      <name val="Aptos Narrow"/>
      <family val="2"/>
      <scheme val="minor"/>
    </font>
    <font>
      <b/>
      <sz val="12"/>
      <color theme="1"/>
      <name val="Aptos Narrow"/>
      <family val="2"/>
      <scheme val="minor"/>
    </font>
    <font>
      <i/>
      <sz val="11"/>
      <color theme="1"/>
      <name val="Aptos Narrow"/>
      <family val="2"/>
      <scheme val="minor"/>
    </font>
    <font>
      <i/>
      <sz val="8"/>
      <color theme="1"/>
      <name val="Aptos Narrow"/>
      <family val="2"/>
      <scheme val="minor"/>
    </font>
    <font>
      <b/>
      <i/>
      <sz val="11"/>
      <color theme="1"/>
      <name val="Aptos Narrow"/>
      <family val="2"/>
      <scheme val="minor"/>
    </font>
    <font>
      <sz val="8"/>
      <color theme="1"/>
      <name val="Aptos Narrow"/>
      <family val="2"/>
      <scheme val="minor"/>
    </font>
    <font>
      <sz val="1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
      <b/>
      <i/>
      <sz val="10"/>
      <color theme="1"/>
      <name val="Aptos Narrow"/>
      <family val="2"/>
      <scheme val="minor"/>
    </font>
    <font>
      <b/>
      <sz val="11"/>
      <color theme="4"/>
      <name val="Aptos Narrow"/>
      <family val="2"/>
      <scheme val="minor"/>
    </font>
    <font>
      <sz val="11"/>
      <color theme="4"/>
      <name val="Aptos Narrow"/>
      <family val="2"/>
      <scheme val="minor"/>
    </font>
    <font>
      <sz val="9"/>
      <color theme="1"/>
      <name val="Aptos Narrow"/>
      <family val="2"/>
      <scheme val="minor"/>
    </font>
    <font>
      <sz val="11"/>
      <color rgb="FF000000"/>
      <name val="Calibri"/>
      <family val="2"/>
    </font>
    <font>
      <sz val="11"/>
      <color theme="7" tint="-0.249977111117893"/>
      <name val="Aptos Narrow"/>
      <family val="2"/>
      <scheme val="minor"/>
    </font>
  </fonts>
  <fills count="11">
    <fill>
      <patternFill patternType="none"/>
    </fill>
    <fill>
      <patternFill patternType="gray125"/>
    </fill>
    <fill>
      <patternFill patternType="solid">
        <fgColor rgb="FFFFEB9C"/>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indexed="64"/>
      </patternFill>
    </fill>
  </fills>
  <borders count="34">
    <border>
      <left/>
      <right/>
      <top/>
      <bottom/>
      <diagonal/>
    </border>
    <border>
      <left/>
      <right/>
      <top/>
      <bottom style="thick">
        <color theme="4"/>
      </bottom>
      <diagonal/>
    </border>
    <border>
      <left/>
      <right/>
      <top style="thin">
        <color theme="4"/>
      </top>
      <bottom style="double">
        <color theme="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cellStyleXfs>
  <cellXfs count="238">
    <xf numFmtId="0" fontId="0" fillId="0" borderId="0" xfId="0"/>
    <xf numFmtId="0" fontId="6" fillId="0" borderId="0" xfId="0" applyFont="1"/>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5" xfId="0" applyFont="1" applyBorder="1" applyAlignment="1">
      <alignment horizontal="center"/>
    </xf>
    <xf numFmtId="0" fontId="4" fillId="3" borderId="4" xfId="0" applyFont="1" applyFill="1" applyBorder="1" applyAlignment="1">
      <alignment horizontal="center"/>
    </xf>
    <xf numFmtId="0" fontId="4" fillId="0" borderId="0" xfId="0" applyFont="1"/>
    <xf numFmtId="0" fontId="9" fillId="0" borderId="0" xfId="0" applyFont="1"/>
    <xf numFmtId="0" fontId="10" fillId="5" borderId="9" xfId="0" applyFont="1" applyFill="1" applyBorder="1" applyAlignment="1">
      <alignment horizontal="center"/>
    </xf>
    <xf numFmtId="0" fontId="10" fillId="0" borderId="9" xfId="0" applyFont="1" applyBorder="1" applyAlignment="1">
      <alignment horizontal="center"/>
    </xf>
    <xf numFmtId="0" fontId="0" fillId="0" borderId="9" xfId="0" applyBorder="1"/>
    <xf numFmtId="9" fontId="0" fillId="0" borderId="9" xfId="3" applyFont="1" applyFill="1" applyBorder="1"/>
    <xf numFmtId="9" fontId="0" fillId="0" borderId="0" xfId="0" applyNumberFormat="1" applyAlignment="1">
      <alignment horizontal="center"/>
    </xf>
    <xf numFmtId="0" fontId="0" fillId="0" borderId="0" xfId="0" applyAlignment="1">
      <alignment horizontal="right"/>
    </xf>
    <xf numFmtId="9" fontId="8" fillId="0" borderId="0" xfId="0" applyNumberFormat="1" applyFont="1" applyAlignment="1">
      <alignment horizontal="center" vertical="center" wrapText="1"/>
    </xf>
    <xf numFmtId="165" fontId="0" fillId="0" borderId="9" xfId="3" applyNumberFormat="1" applyFont="1" applyFill="1" applyBorder="1"/>
    <xf numFmtId="9" fontId="0" fillId="0" borderId="0" xfId="3" applyFont="1"/>
    <xf numFmtId="0" fontId="4" fillId="0" borderId="0" xfId="0" applyFont="1" applyAlignment="1">
      <alignment horizontal="center"/>
    </xf>
    <xf numFmtId="0" fontId="10" fillId="0" borderId="9" xfId="0" applyFont="1" applyBorder="1" applyAlignment="1">
      <alignment horizontal="center" wrapText="1"/>
    </xf>
    <xf numFmtId="0" fontId="0" fillId="0" borderId="9" xfId="0" applyBorder="1" applyAlignment="1">
      <alignment horizontal="center"/>
    </xf>
    <xf numFmtId="9" fontId="0" fillId="0" borderId="9" xfId="3" applyFont="1" applyBorder="1" applyAlignment="1">
      <alignment horizontal="center"/>
    </xf>
    <xf numFmtId="6" fontId="0" fillId="0" borderId="9" xfId="0" applyNumberFormat="1" applyBorder="1" applyAlignment="1">
      <alignment horizontal="center"/>
    </xf>
    <xf numFmtId="0" fontId="0" fillId="6" borderId="9" xfId="0" applyFill="1" applyBorder="1" applyAlignment="1">
      <alignment horizontal="center"/>
    </xf>
    <xf numFmtId="0" fontId="0" fillId="0" borderId="10" xfId="0" applyBorder="1"/>
    <xf numFmtId="6" fontId="0" fillId="0" borderId="0" xfId="0" applyNumberFormat="1" applyAlignment="1">
      <alignment horizontal="center"/>
    </xf>
    <xf numFmtId="164" fontId="10" fillId="0" borderId="9" xfId="0" applyNumberFormat="1" applyFont="1" applyBorder="1" applyAlignment="1">
      <alignment horizontal="center"/>
    </xf>
    <xf numFmtId="0" fontId="0" fillId="0" borderId="9" xfId="0" quotePrefix="1" applyBorder="1"/>
    <xf numFmtId="0" fontId="0" fillId="0" borderId="9" xfId="0" applyBorder="1" applyAlignment="1">
      <alignment horizontal="center" wrapText="1"/>
    </xf>
    <xf numFmtId="164" fontId="4" fillId="4" borderId="13" xfId="1" applyNumberFormat="1" applyFont="1" applyFill="1" applyBorder="1" applyAlignment="1">
      <alignment horizontal="center"/>
    </xf>
    <xf numFmtId="0" fontId="0" fillId="6" borderId="9" xfId="0" applyFill="1" applyBorder="1"/>
    <xf numFmtId="0" fontId="4" fillId="6" borderId="9" xfId="0" applyFont="1" applyFill="1" applyBorder="1"/>
    <xf numFmtId="164" fontId="0" fillId="0" borderId="9" xfId="0" applyNumberFormat="1" applyBorder="1" applyAlignment="1">
      <alignment horizontal="left"/>
    </xf>
    <xf numFmtId="166" fontId="0" fillId="0" borderId="9" xfId="2" applyNumberFormat="1" applyFont="1" applyFill="1" applyBorder="1" applyAlignment="1">
      <alignment horizontal="center"/>
    </xf>
    <xf numFmtId="7" fontId="0" fillId="3" borderId="9" xfId="2" applyNumberFormat="1" applyFont="1" applyFill="1" applyBorder="1" applyAlignment="1">
      <alignment horizontal="center"/>
    </xf>
    <xf numFmtId="4" fontId="0" fillId="0" borderId="9" xfId="0" applyNumberFormat="1" applyBorder="1" applyAlignment="1">
      <alignment vertical="center"/>
    </xf>
    <xf numFmtId="0" fontId="12" fillId="0" borderId="12" xfId="0" applyFont="1" applyBorder="1"/>
    <xf numFmtId="166" fontId="12" fillId="0" borderId="9" xfId="2" applyNumberFormat="1" applyFont="1" applyFill="1" applyBorder="1" applyAlignment="1">
      <alignment horizontal="center"/>
    </xf>
    <xf numFmtId="5" fontId="12" fillId="7" borderId="9" xfId="2" applyNumberFormat="1" applyFont="1" applyFill="1" applyBorder="1" applyAlignment="1"/>
    <xf numFmtId="4" fontId="12" fillId="0" borderId="9" xfId="2" applyNumberFormat="1" applyFont="1" applyFill="1" applyBorder="1" applyAlignment="1">
      <alignment vertical="center"/>
    </xf>
    <xf numFmtId="5" fontId="12" fillId="7" borderId="14" xfId="2" applyNumberFormat="1" applyFont="1" applyFill="1" applyBorder="1" applyAlignment="1"/>
    <xf numFmtId="5" fontId="12" fillId="7" borderId="13" xfId="2" applyNumberFormat="1" applyFont="1" applyFill="1" applyBorder="1" applyAlignment="1"/>
    <xf numFmtId="164" fontId="0" fillId="0" borderId="0" xfId="0" applyNumberFormat="1" applyAlignment="1">
      <alignment horizontal="left"/>
    </xf>
    <xf numFmtId="44" fontId="0" fillId="0" borderId="0" xfId="2" applyFont="1" applyFill="1" applyBorder="1"/>
    <xf numFmtId="43" fontId="0" fillId="0" borderId="0" xfId="1" applyFont="1" applyFill="1" applyBorder="1" applyAlignment="1">
      <alignment horizontal="right"/>
    </xf>
    <xf numFmtId="0" fontId="0" fillId="0" borderId="12" xfId="0" applyBorder="1"/>
    <xf numFmtId="0" fontId="0" fillId="0" borderId="13" xfId="0" applyBorder="1" applyAlignment="1">
      <alignment wrapText="1"/>
    </xf>
    <xf numFmtId="0" fontId="13" fillId="0" borderId="0" xfId="0" applyFont="1"/>
    <xf numFmtId="0" fontId="0" fillId="0" borderId="6" xfId="0" applyBorder="1" applyAlignment="1">
      <alignment horizontal="left"/>
    </xf>
    <xf numFmtId="5" fontId="0" fillId="0" borderId="17" xfId="2" applyNumberFormat="1" applyFont="1" applyFill="1" applyBorder="1" applyAlignment="1">
      <alignment horizontal="center"/>
    </xf>
    <xf numFmtId="5" fontId="0" fillId="0" borderId="7" xfId="2" applyNumberFormat="1" applyFont="1" applyFill="1" applyBorder="1" applyAlignment="1">
      <alignment horizontal="center"/>
    </xf>
    <xf numFmtId="38" fontId="0" fillId="0" borderId="10" xfId="0" applyNumberFormat="1" applyBorder="1"/>
    <xf numFmtId="0" fontId="0" fillId="0" borderId="8" xfId="0" applyBorder="1" applyAlignment="1">
      <alignment wrapText="1"/>
    </xf>
    <xf numFmtId="0" fontId="9" fillId="0" borderId="0" xfId="0" applyFont="1" applyAlignment="1">
      <alignment horizontal="left"/>
    </xf>
    <xf numFmtId="0" fontId="0" fillId="0" borderId="9" xfId="0" applyBorder="1" applyAlignment="1">
      <alignment horizontal="left"/>
    </xf>
    <xf numFmtId="0" fontId="0" fillId="0" borderId="18" xfId="0" applyBorder="1" applyAlignment="1">
      <alignment horizontal="left"/>
    </xf>
    <xf numFmtId="0" fontId="5" fillId="0" borderId="19" xfId="7" applyFill="1" applyBorder="1" applyAlignment="1">
      <alignment wrapText="1"/>
    </xf>
    <xf numFmtId="9" fontId="0" fillId="0" borderId="0" xfId="3" applyFont="1" applyAlignment="1">
      <alignment horizontal="center" wrapText="1"/>
    </xf>
    <xf numFmtId="0" fontId="14" fillId="0" borderId="6" xfId="5" applyFont="1" applyFill="1" applyBorder="1" applyAlignment="1">
      <alignment horizontal="left"/>
    </xf>
    <xf numFmtId="0" fontId="0" fillId="0" borderId="18" xfId="0" applyBorder="1"/>
    <xf numFmtId="0" fontId="0" fillId="0" borderId="16" xfId="0" applyBorder="1" applyAlignment="1">
      <alignment wrapText="1"/>
    </xf>
    <xf numFmtId="0" fontId="0" fillId="0" borderId="15" xfId="0" applyBorder="1"/>
    <xf numFmtId="5" fontId="0" fillId="0" borderId="20" xfId="2" applyNumberFormat="1" applyFont="1" applyFill="1" applyBorder="1" applyAlignment="1">
      <alignment horizontal="center"/>
    </xf>
    <xf numFmtId="5" fontId="0" fillId="0" borderId="11" xfId="2" applyNumberFormat="1" applyFont="1" applyFill="1" applyBorder="1" applyAlignment="1">
      <alignment horizontal="center"/>
    </xf>
    <xf numFmtId="6" fontId="0" fillId="0" borderId="20" xfId="0" applyNumberFormat="1" applyBorder="1"/>
    <xf numFmtId="5" fontId="12" fillId="0" borderId="9" xfId="2" applyNumberFormat="1" applyFont="1" applyFill="1" applyBorder="1" applyAlignment="1">
      <alignment horizontal="center"/>
    </xf>
    <xf numFmtId="0" fontId="0" fillId="7" borderId="14" xfId="0" applyFill="1" applyBorder="1"/>
    <xf numFmtId="0" fontId="0" fillId="7" borderId="13" xfId="0" applyFill="1" applyBorder="1" applyAlignment="1">
      <alignment wrapText="1"/>
    </xf>
    <xf numFmtId="0" fontId="10" fillId="0" borderId="0" xfId="0" applyFont="1" applyAlignment="1">
      <alignment horizontal="center"/>
    </xf>
    <xf numFmtId="0" fontId="10" fillId="0" borderId="0" xfId="0" applyFont="1"/>
    <xf numFmtId="0" fontId="3" fillId="2" borderId="15" xfId="5" applyBorder="1" applyAlignment="1">
      <alignment wrapText="1"/>
    </xf>
    <xf numFmtId="0" fontId="3" fillId="2" borderId="16" xfId="5" applyBorder="1" applyAlignment="1">
      <alignment wrapText="1"/>
    </xf>
    <xf numFmtId="167" fontId="0" fillId="0" borderId="0" xfId="2" applyNumberFormat="1" applyFont="1"/>
    <xf numFmtId="0" fontId="15" fillId="0" borderId="9" xfId="0" applyFont="1" applyBorder="1" applyAlignment="1">
      <alignment horizontal="center" wrapText="1"/>
    </xf>
    <xf numFmtId="0" fontId="15" fillId="8" borderId="9" xfId="0" applyFont="1" applyFill="1" applyBorder="1" applyAlignment="1">
      <alignment horizontal="center" wrapText="1"/>
    </xf>
    <xf numFmtId="0" fontId="16" fillId="0" borderId="0" xfId="0" applyFont="1"/>
    <xf numFmtId="0" fontId="15" fillId="0" borderId="0" xfId="0" applyFont="1" applyAlignment="1">
      <alignment horizontal="center" wrapText="1"/>
    </xf>
    <xf numFmtId="168" fontId="16" fillId="0" borderId="18" xfId="0" applyNumberFormat="1" applyFont="1" applyBorder="1"/>
    <xf numFmtId="0" fontId="16" fillId="0" borderId="17" xfId="0" applyFont="1" applyBorder="1"/>
    <xf numFmtId="0" fontId="0" fillId="7" borderId="17" xfId="0" applyFill="1" applyBorder="1"/>
    <xf numFmtId="0" fontId="0" fillId="0" borderId="0" xfId="0" applyAlignment="1">
      <alignment vertical="center"/>
    </xf>
    <xf numFmtId="20" fontId="16" fillId="0" borderId="0" xfId="0" applyNumberFormat="1" applyFont="1"/>
    <xf numFmtId="0" fontId="0" fillId="0" borderId="0" xfId="0" applyAlignment="1">
      <alignment vertical="center" wrapText="1"/>
    </xf>
    <xf numFmtId="0" fontId="16" fillId="0" borderId="10" xfId="0" applyFont="1" applyBorder="1"/>
    <xf numFmtId="0" fontId="16" fillId="7" borderId="10" xfId="0" applyFont="1" applyFill="1" applyBorder="1"/>
    <xf numFmtId="168" fontId="17" fillId="0" borderId="9" xfId="0" applyNumberFormat="1" applyFont="1" applyBorder="1"/>
    <xf numFmtId="0" fontId="17" fillId="0" borderId="9" xfId="0" applyFont="1" applyBorder="1"/>
    <xf numFmtId="0" fontId="16" fillId="0" borderId="0" xfId="0" applyFont="1" applyAlignment="1">
      <alignment wrapText="1"/>
    </xf>
    <xf numFmtId="0" fontId="17" fillId="7" borderId="10" xfId="0" applyFont="1" applyFill="1" applyBorder="1"/>
    <xf numFmtId="0" fontId="0" fillId="0" borderId="0" xfId="0" applyAlignment="1">
      <alignment horizontal="center"/>
    </xf>
    <xf numFmtId="168" fontId="16" fillId="0" borderId="0" xfId="0" applyNumberFormat="1" applyFont="1"/>
    <xf numFmtId="168" fontId="16" fillId="8" borderId="0" xfId="0" applyNumberFormat="1" applyFont="1" applyFill="1"/>
    <xf numFmtId="0" fontId="16" fillId="7" borderId="0" xfId="0" applyFont="1" applyFill="1"/>
    <xf numFmtId="0" fontId="16" fillId="8" borderId="19" xfId="0" applyFont="1" applyFill="1" applyBorder="1"/>
    <xf numFmtId="168" fontId="16" fillId="8" borderId="11" xfId="0" applyNumberFormat="1" applyFont="1" applyFill="1" applyBorder="1"/>
    <xf numFmtId="0" fontId="16" fillId="7" borderId="11" xfId="0" applyFont="1" applyFill="1" applyBorder="1"/>
    <xf numFmtId="0" fontId="16" fillId="8" borderId="16" xfId="0" applyFont="1" applyFill="1" applyBorder="1"/>
    <xf numFmtId="0" fontId="0" fillId="0" borderId="22" xfId="0"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169" fontId="0" fillId="0" borderId="0" xfId="0" applyNumberFormat="1" applyAlignment="1">
      <alignment horizontal="center"/>
    </xf>
    <xf numFmtId="2" fontId="0" fillId="0" borderId="0" xfId="0" applyNumberFormat="1" applyAlignment="1">
      <alignment horizontal="center"/>
    </xf>
    <xf numFmtId="2" fontId="4" fillId="0" borderId="25" xfId="0" applyNumberFormat="1" applyFont="1" applyBorder="1" applyAlignment="1">
      <alignment horizontal="center"/>
    </xf>
    <xf numFmtId="169" fontId="0" fillId="0" borderId="27" xfId="0" applyNumberFormat="1" applyBorder="1" applyAlignment="1">
      <alignment horizontal="center"/>
    </xf>
    <xf numFmtId="169" fontId="4" fillId="0" borderId="28" xfId="0" applyNumberFormat="1" applyFont="1" applyBorder="1" applyAlignment="1">
      <alignment horizontal="center"/>
    </xf>
    <xf numFmtId="0" fontId="4" fillId="0" borderId="0" xfId="0" applyFont="1" applyAlignment="1">
      <alignment horizontal="left"/>
    </xf>
    <xf numFmtId="2" fontId="0" fillId="0" borderId="0" xfId="0" applyNumberFormat="1"/>
    <xf numFmtId="2" fontId="0" fillId="3" borderId="0" xfId="0" applyNumberFormat="1" applyFill="1" applyAlignment="1">
      <alignment horizontal="center"/>
    </xf>
    <xf numFmtId="2" fontId="0" fillId="9" borderId="11" xfId="0" applyNumberFormat="1" applyFill="1" applyBorder="1" applyAlignment="1">
      <alignment horizontal="center"/>
    </xf>
    <xf numFmtId="0" fontId="0" fillId="0" borderId="25" xfId="0" applyBorder="1" applyAlignment="1">
      <alignment horizontal="center"/>
    </xf>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9" fontId="0" fillId="0" borderId="0" xfId="3" applyFont="1" applyAlignment="1">
      <alignment horizontal="center"/>
    </xf>
    <xf numFmtId="9" fontId="0" fillId="0" borderId="0" xfId="0" applyNumberFormat="1"/>
    <xf numFmtId="0" fontId="12" fillId="0" borderId="0" xfId="0" applyFont="1" applyAlignment="1">
      <alignment horizontal="center"/>
    </xf>
    <xf numFmtId="0" fontId="4" fillId="0" borderId="12" xfId="0" applyFont="1" applyBorder="1"/>
    <xf numFmtId="0" fontId="4" fillId="0" borderId="14" xfId="0" applyFont="1" applyBorder="1"/>
    <xf numFmtId="0" fontId="4" fillId="0" borderId="13" xfId="0" applyFont="1" applyBorder="1"/>
    <xf numFmtId="164" fontId="0" fillId="8" borderId="18" xfId="0" applyNumberFormat="1" applyFill="1" applyBorder="1" applyAlignment="1">
      <alignment horizontal="left" wrapText="1"/>
    </xf>
    <xf numFmtId="167" fontId="0" fillId="8" borderId="0" xfId="2" applyNumberFormat="1" applyFont="1" applyFill="1" applyBorder="1" applyAlignment="1">
      <alignment horizontal="left"/>
    </xf>
    <xf numFmtId="9" fontId="0" fillId="8" borderId="0" xfId="2" applyNumberFormat="1" applyFont="1" applyFill="1" applyBorder="1"/>
    <xf numFmtId="44" fontId="0" fillId="8" borderId="19" xfId="2" applyFont="1" applyFill="1" applyBorder="1"/>
    <xf numFmtId="44" fontId="0" fillId="0" borderId="0" xfId="0" applyNumberFormat="1"/>
    <xf numFmtId="164" fontId="0" fillId="8" borderId="15" xfId="0" applyNumberFormat="1" applyFill="1" applyBorder="1" applyAlignment="1">
      <alignment horizontal="left" wrapText="1"/>
    </xf>
    <xf numFmtId="167" fontId="0" fillId="8" borderId="11" xfId="2" applyNumberFormat="1" applyFont="1" applyFill="1" applyBorder="1" applyAlignment="1">
      <alignment horizontal="left"/>
    </xf>
    <xf numFmtId="9" fontId="0" fillId="8" borderId="11" xfId="2" applyNumberFormat="1" applyFont="1" applyFill="1" applyBorder="1"/>
    <xf numFmtId="44" fontId="0" fillId="8" borderId="16" xfId="2" applyFont="1" applyFill="1" applyBorder="1"/>
    <xf numFmtId="164" fontId="4" fillId="8" borderId="6" xfId="0" applyNumberFormat="1" applyFont="1" applyFill="1" applyBorder="1" applyAlignment="1">
      <alignment horizontal="left"/>
    </xf>
    <xf numFmtId="7" fontId="0" fillId="8" borderId="7" xfId="0" applyNumberFormat="1" applyFill="1" applyBorder="1"/>
    <xf numFmtId="165" fontId="0" fillId="8" borderId="7" xfId="0" applyNumberFormat="1" applyFill="1" applyBorder="1"/>
    <xf numFmtId="7" fontId="0" fillId="8" borderId="8" xfId="0" applyNumberFormat="1" applyFill="1" applyBorder="1"/>
    <xf numFmtId="0" fontId="18" fillId="5" borderId="0" xfId="0" applyFont="1" applyFill="1" applyAlignment="1">
      <alignment horizontal="center" wrapText="1"/>
    </xf>
    <xf numFmtId="0" fontId="18" fillId="5" borderId="0" xfId="0" applyFont="1" applyFill="1" applyAlignment="1">
      <alignment horizontal="center"/>
    </xf>
    <xf numFmtId="0" fontId="0" fillId="9" borderId="0" xfId="0" applyFill="1"/>
    <xf numFmtId="167" fontId="0" fillId="9" borderId="0" xfId="2" applyNumberFormat="1" applyFont="1" applyFill="1" applyAlignment="1">
      <alignment horizontal="left"/>
    </xf>
    <xf numFmtId="9" fontId="0" fillId="9" borderId="0" xfId="2" applyNumberFormat="1" applyFont="1" applyFill="1"/>
    <xf numFmtId="167" fontId="0" fillId="9" borderId="0" xfId="2" applyNumberFormat="1" applyFont="1" applyFill="1"/>
    <xf numFmtId="164" fontId="4" fillId="9" borderId="6" xfId="0" applyNumberFormat="1" applyFont="1" applyFill="1" applyBorder="1" applyAlignment="1">
      <alignment horizontal="left"/>
    </xf>
    <xf numFmtId="7" fontId="0" fillId="9" borderId="7" xfId="0" applyNumberFormat="1" applyFill="1" applyBorder="1"/>
    <xf numFmtId="165" fontId="0" fillId="9" borderId="7" xfId="0" applyNumberFormat="1" applyFill="1" applyBorder="1"/>
    <xf numFmtId="7" fontId="0" fillId="9" borderId="8" xfId="0" applyNumberFormat="1" applyFill="1" applyBorder="1"/>
    <xf numFmtId="164" fontId="4" fillId="7" borderId="15" xfId="0" applyNumberFormat="1" applyFont="1" applyFill="1" applyBorder="1" applyAlignment="1">
      <alignment horizontal="left"/>
    </xf>
    <xf numFmtId="7" fontId="0" fillId="7" borderId="11" xfId="0" applyNumberFormat="1" applyFill="1" applyBorder="1"/>
    <xf numFmtId="165" fontId="0" fillId="7" borderId="11" xfId="0" applyNumberFormat="1" applyFill="1" applyBorder="1"/>
    <xf numFmtId="7" fontId="0" fillId="7" borderId="16" xfId="0" applyNumberFormat="1" applyFill="1" applyBorder="1"/>
    <xf numFmtId="0" fontId="4" fillId="0" borderId="6" xfId="0" applyFont="1" applyBorder="1"/>
    <xf numFmtId="7" fontId="4" fillId="0" borderId="7" xfId="0" applyNumberFormat="1" applyFont="1" applyBorder="1"/>
    <xf numFmtId="165" fontId="4" fillId="5" borderId="7" xfId="0" applyNumberFormat="1" applyFont="1" applyFill="1" applyBorder="1"/>
    <xf numFmtId="7" fontId="4" fillId="5" borderId="8" xfId="0" applyNumberFormat="1" applyFont="1" applyFill="1" applyBorder="1"/>
    <xf numFmtId="7" fontId="0" fillId="0" borderId="0" xfId="0" applyNumberFormat="1"/>
    <xf numFmtId="164" fontId="0" fillId="0" borderId="0" xfId="0" applyNumberFormat="1" applyAlignment="1">
      <alignment horizontal="right"/>
    </xf>
    <xf numFmtId="167" fontId="0" fillId="0" borderId="0" xfId="0" applyNumberFormat="1"/>
    <xf numFmtId="0" fontId="19" fillId="0" borderId="15" xfId="0" applyFont="1" applyBorder="1"/>
    <xf numFmtId="5" fontId="19" fillId="0" borderId="11" xfId="6" applyNumberFormat="1" applyFont="1" applyFill="1" applyBorder="1"/>
    <xf numFmtId="5" fontId="19" fillId="5" borderId="0" xfId="6" applyNumberFormat="1" applyFont="1" applyFill="1" applyBorder="1"/>
    <xf numFmtId="0" fontId="4" fillId="5" borderId="19" xfId="0" applyFont="1" applyFill="1" applyBorder="1"/>
    <xf numFmtId="0" fontId="20" fillId="0" borderId="6" xfId="0" applyFont="1" applyBorder="1" applyAlignment="1">
      <alignment horizontal="left" wrapText="1" indent="1"/>
    </xf>
    <xf numFmtId="0" fontId="0" fillId="5" borderId="0" xfId="0" applyFill="1"/>
    <xf numFmtId="0" fontId="0" fillId="5" borderId="19" xfId="0" applyFill="1" applyBorder="1"/>
    <xf numFmtId="0" fontId="20" fillId="0" borderId="15" xfId="0" applyFont="1" applyBorder="1" applyAlignment="1">
      <alignment horizontal="left" indent="1"/>
    </xf>
    <xf numFmtId="0" fontId="0" fillId="5" borderId="11" xfId="0" applyFill="1" applyBorder="1"/>
    <xf numFmtId="0" fontId="0" fillId="5" borderId="16" xfId="0" applyFill="1" applyBorder="1"/>
    <xf numFmtId="167" fontId="0" fillId="0" borderId="0" xfId="2" applyNumberFormat="1" applyFont="1" applyAlignment="1">
      <alignment horizontal="left"/>
    </xf>
    <xf numFmtId="44" fontId="0" fillId="0" borderId="0" xfId="2" applyFont="1"/>
    <xf numFmtId="9" fontId="0" fillId="0" borderId="0" xfId="2" applyNumberFormat="1" applyFont="1"/>
    <xf numFmtId="44" fontId="0" fillId="0" borderId="0" xfId="2" applyFont="1" applyAlignment="1">
      <alignment horizontal="left"/>
    </xf>
    <xf numFmtId="6" fontId="4" fillId="10" borderId="29" xfId="0" applyNumberFormat="1" applyFont="1" applyFill="1" applyBorder="1"/>
    <xf numFmtId="0" fontId="22" fillId="0" borderId="0" xfId="0" applyFont="1" applyAlignment="1">
      <alignment horizontal="left" vertical="center" wrapText="1"/>
    </xf>
    <xf numFmtId="8" fontId="0" fillId="0" borderId="0" xfId="0" applyNumberFormat="1" applyAlignment="1">
      <alignment horizontal="center"/>
    </xf>
    <xf numFmtId="5" fontId="0" fillId="0" borderId="0" xfId="0" applyNumberFormat="1" applyAlignment="1">
      <alignment horizontal="center"/>
    </xf>
    <xf numFmtId="9" fontId="22" fillId="0" borderId="0" xfId="0" applyNumberFormat="1" applyFont="1" applyAlignment="1">
      <alignment horizontal="center" vertical="center" wrapText="1"/>
    </xf>
    <xf numFmtId="165" fontId="0" fillId="0" borderId="0" xfId="3" applyNumberFormat="1" applyFont="1"/>
    <xf numFmtId="0" fontId="4" fillId="0" borderId="24" xfId="0" applyFont="1" applyBorder="1"/>
    <xf numFmtId="0" fontId="10" fillId="0" borderId="24" xfId="0" applyFont="1" applyBorder="1" applyAlignment="1">
      <alignment wrapText="1"/>
    </xf>
    <xf numFmtId="0" fontId="0" fillId="0" borderId="24" xfId="0" applyBorder="1" applyAlignment="1" applyProtection="1">
      <alignment horizontal="left" wrapText="1"/>
      <protection locked="0"/>
    </xf>
    <xf numFmtId="9" fontId="20" fillId="0" borderId="11" xfId="0" applyNumberFormat="1" applyFont="1" applyBorder="1"/>
    <xf numFmtId="9" fontId="20" fillId="0" borderId="7" xfId="0" applyNumberFormat="1" applyFont="1" applyBorder="1"/>
    <xf numFmtId="0" fontId="4" fillId="0" borderId="33" xfId="0" applyFont="1" applyBorder="1" applyAlignment="1">
      <alignment wrapText="1"/>
    </xf>
    <xf numFmtId="0" fontId="0" fillId="0" borderId="33" xfId="0" applyBorder="1" applyAlignment="1">
      <alignment wrapText="1"/>
    </xf>
    <xf numFmtId="6" fontId="4" fillId="0" borderId="33" xfId="0" applyNumberFormat="1" applyFont="1" applyBorder="1" applyAlignment="1">
      <alignment horizontal="center"/>
    </xf>
    <xf numFmtId="170" fontId="0" fillId="0" borderId="25" xfId="0" applyNumberFormat="1" applyBorder="1"/>
    <xf numFmtId="5" fontId="0" fillId="0" borderId="25" xfId="0" applyNumberFormat="1" applyBorder="1" applyAlignment="1">
      <alignment horizontal="center"/>
    </xf>
    <xf numFmtId="7" fontId="0" fillId="0" borderId="28" xfId="0" applyNumberFormat="1" applyBorder="1" applyAlignment="1">
      <alignment horizontal="center"/>
    </xf>
    <xf numFmtId="9" fontId="22" fillId="0" borderId="24" xfId="0" applyNumberFormat="1" applyFont="1" applyBorder="1" applyAlignment="1">
      <alignment horizontal="center" vertical="center" wrapText="1"/>
    </xf>
    <xf numFmtId="6" fontId="0" fillId="0" borderId="25" xfId="0" applyNumberFormat="1" applyBorder="1" applyAlignment="1">
      <alignment horizontal="center"/>
    </xf>
    <xf numFmtId="9" fontId="22" fillId="0" borderId="26" xfId="0" applyNumberFormat="1" applyFont="1" applyBorder="1" applyAlignment="1">
      <alignment horizontal="center" vertical="center" wrapText="1"/>
    </xf>
    <xf numFmtId="9" fontId="22" fillId="0" borderId="28" xfId="0" applyNumberFormat="1" applyFont="1" applyBorder="1" applyAlignment="1">
      <alignment horizontal="center" vertical="center" wrapText="1"/>
    </xf>
    <xf numFmtId="0" fontId="11" fillId="5" borderId="13" xfId="0" applyFont="1" applyFill="1" applyBorder="1" applyAlignment="1">
      <alignment horizontal="center" wrapText="1"/>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4" fillId="0" borderId="31" xfId="0" applyFont="1" applyBorder="1" applyAlignment="1">
      <alignment wrapText="1"/>
    </xf>
    <xf numFmtId="0" fontId="4" fillId="0" borderId="32" xfId="0" applyFont="1" applyBorder="1" applyAlignment="1">
      <alignment wrapText="1"/>
    </xf>
    <xf numFmtId="6" fontId="23" fillId="0" borderId="0" xfId="0" applyNumberFormat="1" applyFont="1" applyAlignment="1">
      <alignment horizontal="center"/>
    </xf>
    <xf numFmtId="0" fontId="4" fillId="0" borderId="0" xfId="0" applyFont="1" applyAlignment="1">
      <alignment horizontal="center" wrapText="1"/>
    </xf>
    <xf numFmtId="7" fontId="0" fillId="0" borderId="0" xfId="0" applyNumberFormat="1" applyAlignment="1">
      <alignment horizontal="center"/>
    </xf>
    <xf numFmtId="0" fontId="0" fillId="0" borderId="0" xfId="0" applyAlignment="1">
      <alignment wrapText="1"/>
    </xf>
    <xf numFmtId="8" fontId="0" fillId="0" borderId="0" xfId="0" applyNumberFormat="1" applyAlignment="1">
      <alignment horizontal="center" wrapText="1"/>
    </xf>
    <xf numFmtId="0" fontId="9" fillId="0" borderId="11" xfId="0" applyFont="1" applyBorder="1"/>
    <xf numFmtId="0" fontId="0" fillId="6" borderId="0" xfId="0" applyFill="1" applyAlignment="1">
      <alignment horizontal="center"/>
    </xf>
    <xf numFmtId="0" fontId="0" fillId="3" borderId="3" xfId="0" applyFill="1" applyBorder="1"/>
    <xf numFmtId="0" fontId="0" fillId="3" borderId="4" xfId="0" applyFill="1" applyBorder="1"/>
    <xf numFmtId="0" fontId="9" fillId="0" borderId="15" xfId="0" applyFont="1" applyBorder="1"/>
    <xf numFmtId="0" fontId="9" fillId="0" borderId="16" xfId="0" applyFont="1" applyBorder="1"/>
    <xf numFmtId="0" fontId="2" fillId="0" borderId="0" xfId="4" applyBorder="1" applyAlignment="1"/>
    <xf numFmtId="14" fontId="0" fillId="0" borderId="0" xfId="0" applyNumberFormat="1"/>
    <xf numFmtId="0" fontId="11" fillId="5" borderId="12" xfId="0" applyFont="1" applyFill="1" applyBorder="1" applyAlignment="1">
      <alignment horizontal="left" wrapText="1"/>
    </xf>
    <xf numFmtId="0" fontId="4" fillId="0" borderId="30" xfId="0" applyFont="1" applyBorder="1"/>
    <xf numFmtId="0" fontId="2" fillId="0" borderId="1" xfId="4" applyAlignment="1"/>
    <xf numFmtId="0" fontId="2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4" fillId="0" borderId="30" xfId="0" applyFont="1" applyBorder="1" applyAlignment="1">
      <alignment horizontal="center"/>
    </xf>
    <xf numFmtId="0" fontId="4" fillId="0" borderId="32" xfId="0" applyFont="1" applyBorder="1" applyAlignment="1">
      <alignment horizontal="center"/>
    </xf>
    <xf numFmtId="0" fontId="10" fillId="0" borderId="9" xfId="0" applyFont="1" applyBorder="1" applyAlignment="1">
      <alignment horizontal="center"/>
    </xf>
    <xf numFmtId="0" fontId="8" fillId="0" borderId="0" xfId="0" applyFont="1" applyAlignment="1">
      <alignment horizontal="left" vertical="center" wrapText="1"/>
    </xf>
    <xf numFmtId="0" fontId="3" fillId="2" borderId="6" xfId="5" applyBorder="1" applyAlignment="1">
      <alignment horizontal="center"/>
    </xf>
    <xf numFmtId="0" fontId="3" fillId="2" borderId="8" xfId="5"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0" fillId="8" borderId="10" xfId="0" applyFill="1" applyBorder="1" applyAlignment="1">
      <alignment horizontal="center"/>
    </xf>
    <xf numFmtId="0" fontId="0" fillId="8" borderId="20" xfId="0" applyFill="1" applyBorder="1" applyAlignment="1">
      <alignment horizontal="center"/>
    </xf>
    <xf numFmtId="0" fontId="4" fillId="0" borderId="0" xfId="0" applyFont="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4"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3" xfId="0" applyFont="1" applyBorder="1" applyAlignment="1">
      <alignment horizontal="center"/>
    </xf>
    <xf numFmtId="0" fontId="2" fillId="0" borderId="1" xfId="4" applyAlignment="1">
      <alignment horizontal="center"/>
    </xf>
    <xf numFmtId="0" fontId="15" fillId="0" borderId="9" xfId="0" applyFont="1" applyBorder="1" applyAlignment="1">
      <alignment horizontal="center" vertical="center"/>
    </xf>
    <xf numFmtId="0" fontId="0" fillId="0" borderId="20"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0" fontId="0" fillId="0" borderId="10" xfId="0" applyBorder="1" applyAlignment="1">
      <alignment horizontal="center"/>
    </xf>
  </cellXfs>
  <cellStyles count="8">
    <cellStyle name="Comma" xfId="1" builtinId="3"/>
    <cellStyle name="Currency" xfId="2" builtinId="4"/>
    <cellStyle name="Heading 1" xfId="4" builtinId="16"/>
    <cellStyle name="Hyperlink" xfId="7" builtinId="8"/>
    <cellStyle name="Neutral" xfId="5" builtinId="28"/>
    <cellStyle name="Normal" xfId="0" builtinId="0"/>
    <cellStyle name="Percent" xfId="3" builtinId="5"/>
    <cellStyle name="Total" xfId="6"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4</xdr:row>
      <xdr:rowOff>38100</xdr:rowOff>
    </xdr:from>
    <xdr:to>
      <xdr:col>17</xdr:col>
      <xdr:colOff>513167</xdr:colOff>
      <xdr:row>22</xdr:row>
      <xdr:rowOff>47625</xdr:rowOff>
    </xdr:to>
    <xdr:pic>
      <xdr:nvPicPr>
        <xdr:cNvPr id="3" name="Picture 2" descr="Counties per catchment areas&#10;">
          <a:extLst>
            <a:ext uri="{FF2B5EF4-FFF2-40B4-BE49-F238E27FC236}">
              <a16:creationId xmlns:a16="http://schemas.microsoft.com/office/drawing/2014/main" id="{97CB5158-B02B-9E95-2BF2-045A6660AC17}"/>
            </a:ext>
          </a:extLst>
        </xdr:cNvPr>
        <xdr:cNvPicPr>
          <a:picLocks noChangeAspect="1"/>
        </xdr:cNvPicPr>
      </xdr:nvPicPr>
      <xdr:blipFill>
        <a:blip xmlns:r="http://schemas.openxmlformats.org/officeDocument/2006/relationships" r:embed="rId1"/>
        <a:stretch>
          <a:fillRect/>
        </a:stretch>
      </xdr:blipFill>
      <xdr:spPr>
        <a:xfrm>
          <a:off x="8486775" y="1000125"/>
          <a:ext cx="5323292" cy="3619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s/EPS/WORKING%20EPS%20Residential%20Care%20Program%20%20Rate%20Mode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Rates\BRS\rate%20model\Residential%20Care%20Program%205.1.xlsx" TargetMode="External"/><Relationship Id="rId1" Type="http://schemas.openxmlformats.org/officeDocument/2006/relationships/externalLinkPath" Target="/Rates/BRS/rate%20model/Residential%20Care%20Program%20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ellytd\AppData\Local\Microsoft\Windows\INetCache\Content.Outlook\5EGBJKHN\EPS%20Residential%20Care%20Program%20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ateofwa-my.sharepoint.com/ALLOTMENT/Forecasting%20and%20Financial%20Modeling/Charles%20Wang/Rate%20Setting/ATLP/Final%20Transitional%20living%20cost%20model%20-%20Finance_5.24.23_cw_t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delinsider.ssv.wa.lcl/Users/john.rich/Downloads/Import%20Template%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Budget%20Files%2023-25\23-25%20Operating%20DPs\307%202023-25%20PL%20Backup%20to%20OFM%20and%20Leg\PL-DS%20D.S.%20Compliance%20Copy%20of%20B23-25%20DP%20Data%20DS%20010%20C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P&amp;L"/>
      <sheetName val="Direct Care Schedule"/>
      <sheetName val="Rental Costs"/>
      <sheetName val="Cost of Living"/>
      <sheetName val="reference"/>
      <sheetName val="compare overhead"/>
      <sheetName val="broader consideration"/>
      <sheetName val="Usage"/>
      <sheetName val="overlap"/>
      <sheetName val="youth service lookup"/>
      <sheetName val="EPS client info"/>
      <sheetName val="Sheet4"/>
      <sheetName val="EPS service data"/>
    </sheetNames>
    <sheetDataSet>
      <sheetData sheetId="0">
        <row r="10">
          <cell r="B10">
            <v>12734.168928602126</v>
          </cell>
        </row>
        <row r="21">
          <cell r="C21">
            <v>8.6999999999999993</v>
          </cell>
          <cell r="D21">
            <v>134.42307692307693</v>
          </cell>
        </row>
        <row r="22">
          <cell r="C22">
            <v>58</v>
          </cell>
          <cell r="D22">
            <v>36</v>
          </cell>
        </row>
        <row r="23">
          <cell r="B23">
            <v>30</v>
          </cell>
          <cell r="C23">
            <v>173.3</v>
          </cell>
          <cell r="D23">
            <v>30</v>
          </cell>
        </row>
        <row r="24">
          <cell r="B24">
            <v>25</v>
          </cell>
          <cell r="C24">
            <v>615.29999999999995</v>
          </cell>
          <cell r="D24">
            <v>25</v>
          </cell>
        </row>
        <row r="25">
          <cell r="B25">
            <v>25</v>
          </cell>
          <cell r="C25">
            <v>667.3</v>
          </cell>
          <cell r="D25">
            <v>25</v>
          </cell>
        </row>
        <row r="26">
          <cell r="B26">
            <v>25</v>
          </cell>
          <cell r="C26">
            <v>158</v>
          </cell>
          <cell r="D26">
            <v>25</v>
          </cell>
        </row>
        <row r="27">
          <cell r="C27">
            <v>86.7</v>
          </cell>
          <cell r="D27">
            <v>22.692307692307693</v>
          </cell>
        </row>
        <row r="34">
          <cell r="B34">
            <v>0.2</v>
          </cell>
        </row>
        <row r="35">
          <cell r="B35">
            <v>0.24</v>
          </cell>
        </row>
        <row r="36">
          <cell r="B36">
            <v>1.4999999999999999E-2</v>
          </cell>
        </row>
        <row r="40">
          <cell r="B40">
            <v>400</v>
          </cell>
        </row>
        <row r="41">
          <cell r="B41">
            <v>500</v>
          </cell>
        </row>
        <row r="42">
          <cell r="B42">
            <v>726.15384615384619</v>
          </cell>
          <cell r="C42">
            <v>8713.8461538461543</v>
          </cell>
        </row>
        <row r="43">
          <cell r="B43">
            <v>500</v>
          </cell>
          <cell r="C43">
            <v>6000</v>
          </cell>
        </row>
        <row r="44">
          <cell r="B44">
            <v>75</v>
          </cell>
        </row>
        <row r="45">
          <cell r="B45">
            <v>300</v>
          </cell>
        </row>
        <row r="46">
          <cell r="B46">
            <v>720</v>
          </cell>
        </row>
        <row r="47">
          <cell r="B47">
            <v>300</v>
          </cell>
          <cell r="C47">
            <v>3600</v>
          </cell>
        </row>
        <row r="48">
          <cell r="B48">
            <v>120</v>
          </cell>
          <cell r="C48">
            <v>1440</v>
          </cell>
        </row>
        <row r="49">
          <cell r="B49">
            <v>1800</v>
          </cell>
          <cell r="C49">
            <v>21600</v>
          </cell>
        </row>
        <row r="51">
          <cell r="B51">
            <v>150</v>
          </cell>
          <cell r="C51">
            <v>1800</v>
          </cell>
        </row>
        <row r="52">
          <cell r="B52">
            <v>1002</v>
          </cell>
        </row>
        <row r="59">
          <cell r="B59">
            <v>3390</v>
          </cell>
        </row>
      </sheetData>
      <sheetData sheetId="1">
        <row r="4">
          <cell r="B4">
            <v>76405.013571612755</v>
          </cell>
          <cell r="C4">
            <v>916860.162859353</v>
          </cell>
        </row>
        <row r="8">
          <cell r="C8">
            <v>4800</v>
          </cell>
        </row>
        <row r="9">
          <cell r="C9">
            <v>6000</v>
          </cell>
        </row>
        <row r="12">
          <cell r="C12">
            <v>900</v>
          </cell>
        </row>
        <row r="13">
          <cell r="C13">
            <v>3600</v>
          </cell>
        </row>
        <row r="14">
          <cell r="C14">
            <v>8640</v>
          </cell>
        </row>
        <row r="15">
          <cell r="C15">
            <v>12024</v>
          </cell>
        </row>
        <row r="19">
          <cell r="B19">
            <v>3390</v>
          </cell>
        </row>
        <row r="20">
          <cell r="B20">
            <v>520</v>
          </cell>
        </row>
        <row r="34">
          <cell r="B34">
            <v>1169.4807692307693</v>
          </cell>
        </row>
        <row r="44">
          <cell r="B44">
            <v>46438.903846153844</v>
          </cell>
          <cell r="C44">
            <v>557266.84615384613</v>
          </cell>
        </row>
      </sheetData>
      <sheetData sheetId="2"/>
      <sheetData sheetId="3"/>
      <sheetData sheetId="4">
        <row r="3">
          <cell r="C3" t="str">
            <v>Occupation</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RTP Assumptions"/>
      <sheetName val="P&amp;L"/>
      <sheetName val="Direct Care Schedule"/>
      <sheetName val="Rental Costs"/>
      <sheetName val="Regional Wage Cost"/>
      <sheetName val="Capacity "/>
      <sheetName val="Sheet3"/>
      <sheetName val="utlization data"/>
    </sheetNames>
    <sheetDataSet>
      <sheetData sheetId="0">
        <row r="4">
          <cell r="B4">
            <v>6</v>
          </cell>
        </row>
      </sheetData>
      <sheetData sheetId="1">
        <row r="5">
          <cell r="B5">
            <v>101171.45999999999</v>
          </cell>
        </row>
        <row r="36">
          <cell r="B36">
            <v>3293.083333333333</v>
          </cell>
        </row>
        <row r="37">
          <cell r="B37">
            <v>5752.0320000000002</v>
          </cell>
        </row>
      </sheetData>
      <sheetData sheetId="2">
        <row r="38">
          <cell r="C38">
            <v>502.66666666666663</v>
          </cell>
        </row>
      </sheetData>
      <sheetData sheetId="3">
        <row r="2">
          <cell r="B2" t="str">
            <v>Snohomish</v>
          </cell>
        </row>
      </sheetData>
      <sheetData sheetId="4">
        <row r="7">
          <cell r="A7" t="str">
            <v>Snohomish</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P&amp;L"/>
      <sheetName val="Cost of Living"/>
      <sheetName val="Rental Costs"/>
      <sheetName val="Direct Care Schedule"/>
    </sheetNames>
    <sheetDataSet>
      <sheetData sheetId="0">
        <row r="4">
          <cell r="B4">
            <v>6</v>
          </cell>
        </row>
      </sheetData>
      <sheetData sheetId="1">
        <row r="4">
          <cell r="B4">
            <v>63000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PT Rate Model"/>
      <sheetName val="Program Costs"/>
      <sheetName val="Direct Care Schedule"/>
      <sheetName val="DCYF Modeled 2 FTE"/>
      <sheetName val="startup"/>
      <sheetName val="DCYF Modeled - Float"/>
      <sheetName val="Service Continuum Comparison"/>
      <sheetName val="Utilization example"/>
    </sheetNames>
    <sheetDataSet>
      <sheetData sheetId="0">
        <row r="4">
          <cell r="B4">
            <v>6</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lidation"/>
      <sheetName val="ImportData"/>
      <sheetName val="Parameters"/>
    </sheetNames>
    <sheetDataSet>
      <sheetData sheetId="0"/>
      <sheetData sheetId="1">
        <row r="2">
          <cell r="A2" t="str">
            <v>ML</v>
          </cell>
          <cell r="B2" t="str">
            <v>Fund</v>
          </cell>
          <cell r="C2" t="str">
            <v>FD</v>
          </cell>
        </row>
        <row r="3">
          <cell r="A3" t="str">
            <v>PL</v>
          </cell>
          <cell r="B3" t="str">
            <v>Fund Activity</v>
          </cell>
        </row>
        <row r="4">
          <cell r="B4" t="str">
            <v>FTE</v>
          </cell>
        </row>
        <row r="5">
          <cell r="B5" t="str">
            <v>FTE Activity</v>
          </cell>
        </row>
        <row r="6">
          <cell r="B6" t="str">
            <v>Object</v>
          </cell>
        </row>
        <row r="7">
          <cell r="B7" t="str">
            <v>Revenue</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up_Setup"/>
      <sheetName val="FTE, sal, ben"/>
      <sheetName val="prof svc cont"/>
      <sheetName val="goods and svcs"/>
      <sheetName val="travel"/>
      <sheetName val="equipment"/>
      <sheetName val="client svcs cont"/>
      <sheetName val="other&amp;indirect"/>
      <sheetName val="interagency agree"/>
      <sheetName val="Overview"/>
      <sheetName val="Cost Model"/>
      <sheetName val="ATLP Model- Mix"/>
      <sheetName val="BRS Facility"/>
      <sheetName val="Rental Costs"/>
      <sheetName val="Summary"/>
      <sheetName val="PFP - model"/>
      <sheetName val="King County ref"/>
      <sheetName val="Data"/>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6">
          <cell r="C16">
            <v>0.75</v>
          </cell>
        </row>
      </sheetData>
      <sheetData sheetId="12"/>
      <sheetData sheetId="13">
        <row r="3">
          <cell r="P3">
            <v>-2102</v>
          </cell>
        </row>
      </sheetData>
      <sheetData sheetId="14"/>
      <sheetData sheetId="15"/>
      <sheetData sheetId="16"/>
      <sheetData sheetId="17">
        <row r="84">
          <cell r="B84" t="str">
            <v>001-General Fund - Fed Grnt</v>
          </cell>
        </row>
        <row r="85">
          <cell r="B85" t="str">
            <v>001-1 General Fund - State</v>
          </cell>
        </row>
        <row r="86">
          <cell r="B86" t="str">
            <v>001-2 General Fund - Federal</v>
          </cell>
        </row>
        <row r="87">
          <cell r="B87" t="str">
            <v>001-7 General Fund - Private/Local</v>
          </cell>
        </row>
        <row r="88">
          <cell r="B88" t="str">
            <v>001-A General Fund - Fam Supt (IV-E)</v>
          </cell>
        </row>
        <row r="89">
          <cell r="B89" t="str">
            <v>001-C General Fund - Medicaid (T-19)</v>
          </cell>
        </row>
        <row r="90">
          <cell r="B90" t="str">
            <v>001-H General Fund - ARPA</v>
          </cell>
        </row>
        <row r="91">
          <cell r="B91" t="str">
            <v>001-Z General Fund - CRRSA</v>
          </cell>
        </row>
        <row r="92">
          <cell r="B92" t="str">
            <v>08A-1 Education Legacy Trust Acct - State</v>
          </cell>
        </row>
        <row r="93">
          <cell r="B93" t="str">
            <v>133-6 Children's Trust</v>
          </cell>
        </row>
        <row r="94">
          <cell r="B94" t="str">
            <v>17B-1 HVSA - State</v>
          </cell>
        </row>
        <row r="95">
          <cell r="B95" t="str">
            <v>17B-2 HVSA - Fed</v>
          </cell>
        </row>
        <row r="96">
          <cell r="B96" t="str">
            <v>17F-1 WA Opportunity Pathways Acct - State</v>
          </cell>
        </row>
        <row r="97">
          <cell r="B97" t="str">
            <v>17M-6 Port Background Check</v>
          </cell>
        </row>
        <row r="98">
          <cell r="B98" t="str">
            <v>20L-1 Early Start</v>
          </cell>
        </row>
        <row r="99">
          <cell r="B99" t="str">
            <v>24J-1 Workforce Education Investment Acct - State</v>
          </cell>
        </row>
        <row r="100">
          <cell r="B100" t="str">
            <v>NewCR</v>
          </cell>
        </row>
        <row r="101">
          <cell r="B101" t="str">
            <v>NewExp</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fm.wa.gov/accounting/administrative-accounting-resources/travel/diem-rate-tabl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2E2AE-E739-460B-870B-A50B1F808DD2}">
  <dimension ref="A1:F25"/>
  <sheetViews>
    <sheetView tabSelected="1" workbookViewId="0">
      <selection activeCell="B12" sqref="B12"/>
    </sheetView>
  </sheetViews>
  <sheetFormatPr defaultRowHeight="15" x14ac:dyDescent="0.25"/>
  <cols>
    <col min="2" max="2" width="32.7109375" customWidth="1"/>
    <col min="3" max="3" width="17.7109375" customWidth="1"/>
    <col min="4" max="4" width="10.85546875" customWidth="1"/>
    <col min="5" max="6" width="9.85546875" bestFit="1" customWidth="1"/>
  </cols>
  <sheetData>
    <row r="1" spans="1:6" x14ac:dyDescent="0.25">
      <c r="A1" s="211" t="s">
        <v>99</v>
      </c>
      <c r="B1" s="211"/>
      <c r="C1" s="211"/>
      <c r="D1" s="211"/>
      <c r="E1" s="211"/>
      <c r="F1" s="211"/>
    </row>
    <row r="2" spans="1:6" ht="18.75" x14ac:dyDescent="0.25">
      <c r="A2" s="212" t="s">
        <v>100</v>
      </c>
      <c r="B2" s="212"/>
      <c r="C2" s="212"/>
      <c r="D2" s="212"/>
      <c r="E2" s="212"/>
      <c r="F2" s="212"/>
    </row>
    <row r="3" spans="1:6" x14ac:dyDescent="0.25">
      <c r="A3" s="213" t="s">
        <v>134</v>
      </c>
      <c r="B3" s="213"/>
      <c r="C3" s="213"/>
      <c r="D3" s="213"/>
      <c r="E3" s="213"/>
      <c r="F3" s="213"/>
    </row>
    <row r="5" spans="1:6" ht="15.75" thickBot="1" x14ac:dyDescent="0.3"/>
    <row r="6" spans="1:6" x14ac:dyDescent="0.25">
      <c r="B6" s="214" t="s">
        <v>131</v>
      </c>
      <c r="C6" s="215"/>
    </row>
    <row r="7" spans="1:6" x14ac:dyDescent="0.25">
      <c r="B7" s="110"/>
      <c r="C7" s="183"/>
    </row>
    <row r="8" spans="1:6" x14ac:dyDescent="0.25">
      <c r="B8" s="110" t="s">
        <v>126</v>
      </c>
      <c r="C8" s="184">
        <f>ROUND(Summary!C21*Summary!C23,0)</f>
        <v>8048</v>
      </c>
    </row>
    <row r="9" spans="1:6" ht="15.75" thickBot="1" x14ac:dyDescent="0.3">
      <c r="B9" s="112" t="s">
        <v>130</v>
      </c>
      <c r="C9" s="185">
        <f>C23/30.42</f>
        <v>176.39710716633792</v>
      </c>
    </row>
    <row r="12" spans="1:6" x14ac:dyDescent="0.25">
      <c r="B12" s="170" t="s">
        <v>136</v>
      </c>
      <c r="C12" s="171">
        <v>42.97</v>
      </c>
    </row>
    <row r="18" spans="2:5" ht="15.75" thickBot="1" x14ac:dyDescent="0.3"/>
    <row r="19" spans="2:5" x14ac:dyDescent="0.25">
      <c r="B19" s="214" t="s">
        <v>132</v>
      </c>
      <c r="C19" s="215"/>
    </row>
    <row r="20" spans="2:5" x14ac:dyDescent="0.25">
      <c r="B20" s="110"/>
      <c r="C20" s="111"/>
    </row>
    <row r="21" spans="2:5" x14ac:dyDescent="0.25">
      <c r="B21" s="186" t="s">
        <v>133</v>
      </c>
      <c r="C21" s="187">
        <f>Summary!C21/30.42</f>
        <v>440.9294383053703</v>
      </c>
      <c r="D21" s="173"/>
      <c r="E21" s="173"/>
    </row>
    <row r="22" spans="2:5" ht="15.75" thickBot="1" x14ac:dyDescent="0.3">
      <c r="B22" s="188"/>
      <c r="C22" s="189"/>
      <c r="D22" s="173"/>
      <c r="E22" s="173"/>
    </row>
    <row r="23" spans="2:5" hidden="1" x14ac:dyDescent="0.25">
      <c r="B23" t="s">
        <v>127</v>
      </c>
      <c r="C23" s="172">
        <f>ROUND(Summary!C21*Summary!C22,0)</f>
        <v>5366</v>
      </c>
      <c r="D23" s="173"/>
      <c r="E23" s="173"/>
    </row>
    <row r="24" spans="2:5" x14ac:dyDescent="0.25">
      <c r="B24" s="173"/>
      <c r="C24" s="173"/>
      <c r="D24" s="173"/>
      <c r="E24" s="173"/>
    </row>
    <row r="25" spans="2:5" x14ac:dyDescent="0.25">
      <c r="B25" s="173"/>
      <c r="C25" s="173"/>
      <c r="D25" s="173"/>
      <c r="E25" s="173"/>
    </row>
  </sheetData>
  <mergeCells count="5">
    <mergeCell ref="A1:F1"/>
    <mergeCell ref="A2:F2"/>
    <mergeCell ref="A3:F3"/>
    <mergeCell ref="B6:C6"/>
    <mergeCell ref="B19:C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348F-C66E-4871-B325-B106ACA3C302}">
  <dimension ref="B2:G24"/>
  <sheetViews>
    <sheetView workbookViewId="0">
      <selection activeCell="D30" sqref="D29:D30"/>
    </sheetView>
  </sheetViews>
  <sheetFormatPr defaultRowHeight="15" x14ac:dyDescent="0.25"/>
  <cols>
    <col min="2" max="2" width="22.42578125" customWidth="1"/>
    <col min="3" max="3" width="16.85546875" customWidth="1"/>
    <col min="4" max="4" width="18.42578125" customWidth="1"/>
    <col min="5" max="5" width="10.85546875" customWidth="1"/>
    <col min="6" max="6" width="11.7109375" customWidth="1"/>
    <col min="7" max="7" width="21.7109375" customWidth="1"/>
  </cols>
  <sheetData>
    <row r="2" spans="2:7" ht="15.75" thickBot="1" x14ac:dyDescent="0.3"/>
    <row r="3" spans="2:7" ht="30" customHeight="1" x14ac:dyDescent="0.25">
      <c r="B3" s="209" t="s">
        <v>102</v>
      </c>
      <c r="C3" s="193"/>
      <c r="D3" s="193"/>
      <c r="E3" s="193"/>
      <c r="F3" s="193"/>
      <c r="G3" s="194"/>
    </row>
    <row r="4" spans="2:7" x14ac:dyDescent="0.25">
      <c r="B4" s="110"/>
      <c r="G4" s="111"/>
    </row>
    <row r="5" spans="2:7" x14ac:dyDescent="0.25">
      <c r="B5" s="110"/>
      <c r="C5" s="17"/>
      <c r="G5" s="111"/>
    </row>
    <row r="6" spans="2:7" ht="14.25" customHeight="1" x14ac:dyDescent="0.25">
      <c r="B6" s="110"/>
      <c r="C6" s="195"/>
      <c r="G6" s="111"/>
    </row>
    <row r="7" spans="2:7" ht="30" x14ac:dyDescent="0.25">
      <c r="B7" s="175" t="s">
        <v>103</v>
      </c>
      <c r="C7" s="196" t="s">
        <v>119</v>
      </c>
      <c r="D7" s="17" t="s">
        <v>118</v>
      </c>
      <c r="E7" s="196" t="s">
        <v>122</v>
      </c>
      <c r="F7" s="196" t="s">
        <v>123</v>
      </c>
      <c r="G7" s="180" t="s">
        <v>129</v>
      </c>
    </row>
    <row r="8" spans="2:7" x14ac:dyDescent="0.25">
      <c r="B8" s="110"/>
      <c r="C8" s="197"/>
      <c r="G8" s="181"/>
    </row>
    <row r="9" spans="2:7" x14ac:dyDescent="0.25">
      <c r="B9" s="176"/>
      <c r="C9" s="198"/>
      <c r="D9" s="198"/>
      <c r="E9" s="198"/>
      <c r="F9" s="198"/>
      <c r="G9" s="181"/>
    </row>
    <row r="10" spans="2:7" x14ac:dyDescent="0.25">
      <c r="B10" s="177" t="s">
        <v>106</v>
      </c>
      <c r="C10" s="199">
        <v>23.876999999999999</v>
      </c>
      <c r="D10" s="172">
        <f>C10*'EPS Cost Assumptions'!$B$16</f>
        <v>2865.24</v>
      </c>
      <c r="E10" s="172">
        <f>C10*'EPS Cost Assumptions'!$B$17</f>
        <v>2101.1759999999999</v>
      </c>
      <c r="F10" s="24">
        <f>'EPS Cost Assumptions'!$B$19</f>
        <v>4200</v>
      </c>
      <c r="G10" s="182">
        <f>C10*2080+D10+E10</f>
        <v>54630.575999999994</v>
      </c>
    </row>
    <row r="11" spans="2:7" x14ac:dyDescent="0.25">
      <c r="B11" s="177" t="s">
        <v>107</v>
      </c>
      <c r="C11" s="199">
        <v>23.677500000000002</v>
      </c>
      <c r="D11" s="172">
        <f>C11*'EPS Cost Assumptions'!$B$16</f>
        <v>2841.3</v>
      </c>
      <c r="E11" s="172">
        <f>C11*'EPS Cost Assumptions'!$B$17</f>
        <v>2083.6200000000003</v>
      </c>
      <c r="F11" s="24">
        <f>'EPS Cost Assumptions'!$B$19</f>
        <v>4200</v>
      </c>
      <c r="G11" s="182">
        <f t="shared" ref="G11:G22" si="0">C11*2080+D11+E11</f>
        <v>54174.12000000001</v>
      </c>
    </row>
    <row r="12" spans="2:7" x14ac:dyDescent="0.25">
      <c r="B12" s="177" t="s">
        <v>108</v>
      </c>
      <c r="C12" s="199">
        <v>24.024000000000001</v>
      </c>
      <c r="D12" s="172">
        <f>C12*'EPS Cost Assumptions'!$B$16</f>
        <v>2882.88</v>
      </c>
      <c r="E12" s="172">
        <f>C12*'EPS Cost Assumptions'!$B$17</f>
        <v>2114.1120000000001</v>
      </c>
      <c r="F12" s="24">
        <f>'EPS Cost Assumptions'!$B$19</f>
        <v>4200</v>
      </c>
      <c r="G12" s="182">
        <f t="shared" si="0"/>
        <v>54966.911999999997</v>
      </c>
    </row>
    <row r="13" spans="2:7" x14ac:dyDescent="0.25">
      <c r="B13" s="177" t="s">
        <v>109</v>
      </c>
      <c r="C13" s="199">
        <v>24.181500000000003</v>
      </c>
      <c r="D13" s="172">
        <f>C13*'EPS Cost Assumptions'!$B$16</f>
        <v>2901.78</v>
      </c>
      <c r="E13" s="172">
        <f>C13*'EPS Cost Assumptions'!$B$17</f>
        <v>2127.9720000000002</v>
      </c>
      <c r="F13" s="24">
        <f>'EPS Cost Assumptions'!$B$19</f>
        <v>4200</v>
      </c>
      <c r="G13" s="182">
        <f t="shared" si="0"/>
        <v>55327.272000000004</v>
      </c>
    </row>
    <row r="14" spans="2:7" x14ac:dyDescent="0.25">
      <c r="B14" s="177" t="s">
        <v>110</v>
      </c>
      <c r="C14" s="199">
        <v>26.554500000000001</v>
      </c>
      <c r="D14" s="172">
        <f>C14*'EPS Cost Assumptions'!$B$16</f>
        <v>3186.54</v>
      </c>
      <c r="E14" s="172">
        <f>C14*'EPS Cost Assumptions'!$B$17</f>
        <v>2336.7960000000003</v>
      </c>
      <c r="F14" s="24">
        <f>'EPS Cost Assumptions'!$B$19</f>
        <v>4200</v>
      </c>
      <c r="G14" s="182">
        <f t="shared" si="0"/>
        <v>60756.696000000004</v>
      </c>
    </row>
    <row r="15" spans="2:7" x14ac:dyDescent="0.25">
      <c r="B15" s="177" t="s">
        <v>111</v>
      </c>
      <c r="C15" s="199">
        <v>23.677500000000002</v>
      </c>
      <c r="D15" s="172">
        <f>C15*'EPS Cost Assumptions'!$B$16</f>
        <v>2841.3</v>
      </c>
      <c r="E15" s="172">
        <f>C15*'EPS Cost Assumptions'!$B$17</f>
        <v>2083.6200000000003</v>
      </c>
      <c r="F15" s="24">
        <f>'EPS Cost Assumptions'!$B$19</f>
        <v>4200</v>
      </c>
      <c r="G15" s="182">
        <f t="shared" si="0"/>
        <v>54174.12000000001</v>
      </c>
    </row>
    <row r="16" spans="2:7" x14ac:dyDescent="0.25">
      <c r="B16" s="177" t="s">
        <v>112</v>
      </c>
      <c r="C16" s="199">
        <v>25.494000000000003</v>
      </c>
      <c r="D16" s="172">
        <f>C16*'EPS Cost Assumptions'!$B$16</f>
        <v>3059.28</v>
      </c>
      <c r="E16" s="172">
        <f>C16*'EPS Cost Assumptions'!$B$17</f>
        <v>2243.4720000000002</v>
      </c>
      <c r="F16" s="24">
        <f>'EPS Cost Assumptions'!$B$19</f>
        <v>4200</v>
      </c>
      <c r="G16" s="182">
        <f t="shared" si="0"/>
        <v>58330.272000000004</v>
      </c>
    </row>
    <row r="17" spans="2:7" x14ac:dyDescent="0.25">
      <c r="B17" s="177" t="s">
        <v>113</v>
      </c>
      <c r="C17" s="199">
        <v>23.677500000000002</v>
      </c>
      <c r="D17" s="172">
        <f>C17*'EPS Cost Assumptions'!$B$16</f>
        <v>2841.3</v>
      </c>
      <c r="E17" s="172">
        <f>C17*'EPS Cost Assumptions'!$B$17</f>
        <v>2083.6200000000003</v>
      </c>
      <c r="F17" s="24">
        <f>'EPS Cost Assumptions'!$B$19</f>
        <v>4200</v>
      </c>
      <c r="G17" s="182">
        <f t="shared" si="0"/>
        <v>54174.12000000001</v>
      </c>
    </row>
    <row r="18" spans="2:7" x14ac:dyDescent="0.25">
      <c r="B18" s="177" t="s">
        <v>114</v>
      </c>
      <c r="C18" s="199">
        <v>23.016000000000002</v>
      </c>
      <c r="D18" s="172">
        <f>C18*'EPS Cost Assumptions'!$B$16</f>
        <v>2761.92</v>
      </c>
      <c r="E18" s="172">
        <f>C18*'EPS Cost Assumptions'!$B$17</f>
        <v>2025.4080000000001</v>
      </c>
      <c r="F18" s="24">
        <f>'EPS Cost Assumptions'!$B$19</f>
        <v>4200</v>
      </c>
      <c r="G18" s="182">
        <f t="shared" si="0"/>
        <v>52660.608000000007</v>
      </c>
    </row>
    <row r="19" spans="2:7" x14ac:dyDescent="0.25">
      <c r="B19" s="177" t="s">
        <v>115</v>
      </c>
      <c r="C19" s="199">
        <v>22.816500000000001</v>
      </c>
      <c r="D19" s="172">
        <f>C19*'EPS Cost Assumptions'!$B$16</f>
        <v>2737.98</v>
      </c>
      <c r="E19" s="172">
        <f>C19*'EPS Cost Assumptions'!$B$17</f>
        <v>2007.8520000000001</v>
      </c>
      <c r="F19" s="24">
        <f>'EPS Cost Assumptions'!$B$19</f>
        <v>4200</v>
      </c>
      <c r="G19" s="182">
        <f t="shared" si="0"/>
        <v>52204.152000000002</v>
      </c>
    </row>
    <row r="20" spans="2:7" x14ac:dyDescent="0.25">
      <c r="B20" s="177" t="s">
        <v>116</v>
      </c>
      <c r="C20" s="199">
        <v>23.121000000000002</v>
      </c>
      <c r="D20" s="172">
        <f>C20*'EPS Cost Assumptions'!$B$16</f>
        <v>2774.5200000000004</v>
      </c>
      <c r="E20" s="172">
        <f>C20*'EPS Cost Assumptions'!$B$17</f>
        <v>2034.6480000000001</v>
      </c>
      <c r="F20" s="24">
        <f>'EPS Cost Assumptions'!$B$19</f>
        <v>4200</v>
      </c>
      <c r="G20" s="182">
        <f t="shared" si="0"/>
        <v>52900.848000000013</v>
      </c>
    </row>
    <row r="21" spans="2:7" x14ac:dyDescent="0.25">
      <c r="B21" s="177" t="s">
        <v>117</v>
      </c>
      <c r="C21" s="199">
        <v>24.129000000000001</v>
      </c>
      <c r="D21" s="172">
        <f>C21*'EPS Cost Assumptions'!$B$16</f>
        <v>2895.48</v>
      </c>
      <c r="E21" s="172">
        <f>C21*'EPS Cost Assumptions'!$B$17</f>
        <v>2123.3520000000003</v>
      </c>
      <c r="F21" s="24">
        <f>'EPS Cost Assumptions'!$B$19</f>
        <v>4200</v>
      </c>
      <c r="G21" s="182">
        <f t="shared" si="0"/>
        <v>55207.152000000002</v>
      </c>
    </row>
    <row r="22" spans="2:7" x14ac:dyDescent="0.25">
      <c r="B22" s="177" t="s">
        <v>121</v>
      </c>
      <c r="C22" s="199">
        <v>26.397000000000002</v>
      </c>
      <c r="D22" s="172">
        <f>C22*'EPS Cost Assumptions'!$B$16</f>
        <v>3167.6400000000003</v>
      </c>
      <c r="E22" s="172">
        <f>C22*'EPS Cost Assumptions'!$B$17</f>
        <v>2322.9360000000001</v>
      </c>
      <c r="F22" s="24">
        <f>'EPS Cost Assumptions'!$B$19</f>
        <v>4200</v>
      </c>
      <c r="G22" s="182">
        <f t="shared" si="0"/>
        <v>60396.336000000003</v>
      </c>
    </row>
    <row r="23" spans="2:7" x14ac:dyDescent="0.25">
      <c r="B23" s="110"/>
      <c r="G23" s="111"/>
    </row>
    <row r="24" spans="2:7" ht="37.5" customHeight="1" thickBot="1" x14ac:dyDescent="0.3">
      <c r="B24" s="112" t="s">
        <v>120</v>
      </c>
      <c r="C24" s="191"/>
      <c r="D24" s="191"/>
      <c r="E24" s="191"/>
      <c r="F24" s="191"/>
      <c r="G24" s="19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099A-D108-4D18-AD6C-761E210C2CC0}">
  <dimension ref="A1:U66"/>
  <sheetViews>
    <sheetView zoomScaleNormal="100" workbookViewId="0">
      <selection activeCell="E15" sqref="E15"/>
    </sheetView>
  </sheetViews>
  <sheetFormatPr defaultRowHeight="15" x14ac:dyDescent="0.25"/>
  <cols>
    <col min="1" max="1" width="44.5703125" bestFit="1" customWidth="1"/>
    <col min="2" max="2" width="23.7109375" customWidth="1"/>
    <col min="3" max="3" width="19.85546875" customWidth="1"/>
    <col min="4" max="4" width="13.85546875" customWidth="1"/>
    <col min="5" max="5" width="52.140625" customWidth="1"/>
    <col min="6" max="6" width="28.85546875" customWidth="1"/>
    <col min="7" max="7" width="11.5703125" customWidth="1"/>
    <col min="8" max="8" width="10.5703125" customWidth="1"/>
    <col min="10" max="10" width="12" bestFit="1" customWidth="1"/>
    <col min="12" max="12" width="5" customWidth="1"/>
    <col min="15" max="15" width="7.28515625" customWidth="1"/>
  </cols>
  <sheetData>
    <row r="1" spans="1:7" ht="20.25" thickBot="1" x14ac:dyDescent="0.35">
      <c r="A1" s="210"/>
      <c r="B1" s="210"/>
      <c r="C1" s="210"/>
      <c r="D1" s="210"/>
      <c r="E1" s="210"/>
      <c r="F1" s="210"/>
      <c r="G1" s="210"/>
    </row>
    <row r="2" spans="1:7" ht="18.600000000000001" customHeight="1" thickTop="1" x14ac:dyDescent="0.3">
      <c r="A2" s="1"/>
      <c r="F2" s="2"/>
      <c r="G2" s="2"/>
    </row>
    <row r="3" spans="1:7" ht="18.600000000000001" customHeight="1" thickBot="1" x14ac:dyDescent="0.35">
      <c r="A3" s="1"/>
      <c r="F3" s="2"/>
      <c r="G3" s="2"/>
    </row>
    <row r="4" spans="1:7" ht="24.75" customHeight="1" thickBot="1" x14ac:dyDescent="0.3">
      <c r="A4" s="202" t="s">
        <v>0</v>
      </c>
      <c r="B4" s="202"/>
      <c r="C4" s="202"/>
      <c r="D4" s="202"/>
      <c r="E4" s="202"/>
      <c r="F4" s="202"/>
      <c r="G4" s="203"/>
    </row>
    <row r="5" spans="1:7" ht="14.45" customHeight="1" thickBot="1" x14ac:dyDescent="0.3">
      <c r="F5" s="3"/>
      <c r="G5" s="2"/>
    </row>
    <row r="6" spans="1:7" ht="14.45" customHeight="1" thickBot="1" x14ac:dyDescent="0.3">
      <c r="A6" s="4" t="s">
        <v>1</v>
      </c>
      <c r="B6" s="5">
        <v>6</v>
      </c>
      <c r="G6" s="2"/>
    </row>
    <row r="7" spans="1:7" ht="14.45" customHeight="1" x14ac:dyDescent="0.25">
      <c r="A7" s="6"/>
      <c r="B7" s="6"/>
      <c r="G7" s="2"/>
    </row>
    <row r="8" spans="1:7" ht="14.45" customHeight="1" x14ac:dyDescent="0.25">
      <c r="A8" s="220" t="s">
        <v>2</v>
      </c>
      <c r="B8" s="221"/>
      <c r="C8" s="222"/>
      <c r="D8" s="7"/>
      <c r="G8" s="2"/>
    </row>
    <row r="9" spans="1:7" ht="15" customHeight="1" x14ac:dyDescent="0.25">
      <c r="A9" s="8" t="s">
        <v>3</v>
      </c>
      <c r="B9" s="9" t="s">
        <v>4</v>
      </c>
      <c r="C9" s="9" t="s">
        <v>5</v>
      </c>
      <c r="D9" s="6"/>
      <c r="G9" s="2"/>
    </row>
    <row r="10" spans="1:7" ht="15" customHeight="1" x14ac:dyDescent="0.25">
      <c r="A10" s="10" t="s">
        <v>6</v>
      </c>
      <c r="B10" s="11">
        <v>0.2</v>
      </c>
      <c r="C10" s="11"/>
      <c r="D10" s="12"/>
      <c r="E10" s="13"/>
      <c r="F10" s="14"/>
      <c r="G10" s="2"/>
    </row>
    <row r="11" spans="1:7" ht="15" customHeight="1" x14ac:dyDescent="0.25">
      <c r="A11" s="10" t="s">
        <v>7</v>
      </c>
      <c r="B11" s="11">
        <v>0.17</v>
      </c>
      <c r="C11" s="11"/>
      <c r="G11" s="2"/>
    </row>
    <row r="12" spans="1:7" ht="15" customHeight="1" x14ac:dyDescent="0.25">
      <c r="A12" s="10" t="s">
        <v>8</v>
      </c>
      <c r="B12" s="15">
        <v>1.4999999999999999E-2</v>
      </c>
      <c r="C12" s="15"/>
      <c r="D12" s="16"/>
      <c r="E12" t="s">
        <v>9</v>
      </c>
      <c r="G12" s="2"/>
    </row>
    <row r="13" spans="1:7" ht="15" customHeight="1" x14ac:dyDescent="0.25">
      <c r="G13" s="2"/>
    </row>
    <row r="14" spans="1:7" ht="15" customHeight="1" x14ac:dyDescent="0.25">
      <c r="A14" s="6" t="s">
        <v>10</v>
      </c>
      <c r="B14" s="6"/>
      <c r="C14" s="6"/>
      <c r="G14" s="2"/>
    </row>
    <row r="15" spans="1:7" ht="15" customHeight="1" x14ac:dyDescent="0.25">
      <c r="A15" s="8" t="s">
        <v>11</v>
      </c>
      <c r="B15" s="9" t="s">
        <v>12</v>
      </c>
      <c r="C15" s="18" t="s">
        <v>13</v>
      </c>
      <c r="G15" s="2"/>
    </row>
    <row r="16" spans="1:7" ht="15" customHeight="1" x14ac:dyDescent="0.25">
      <c r="A16" s="10" t="s">
        <v>14</v>
      </c>
      <c r="B16" s="19">
        <v>120</v>
      </c>
      <c r="C16" s="20">
        <f>B16/2080</f>
        <v>5.7692307692307696E-2</v>
      </c>
      <c r="G16" s="2"/>
    </row>
    <row r="17" spans="1:9" ht="15" customHeight="1" x14ac:dyDescent="0.25">
      <c r="A17" s="10" t="s">
        <v>140</v>
      </c>
      <c r="B17" s="19">
        <v>88</v>
      </c>
      <c r="C17" s="20">
        <f t="shared" ref="C17:C18" si="0">B17/2080</f>
        <v>4.230769230769231E-2</v>
      </c>
      <c r="G17" s="2"/>
    </row>
    <row r="18" spans="1:9" ht="15" customHeight="1" x14ac:dyDescent="0.25">
      <c r="A18" s="10" t="s">
        <v>16</v>
      </c>
      <c r="B18" s="19">
        <v>40</v>
      </c>
      <c r="C18" s="20">
        <f t="shared" si="0"/>
        <v>1.9230769230769232E-2</v>
      </c>
      <c r="G18" s="2"/>
    </row>
    <row r="19" spans="1:9" ht="15" customHeight="1" x14ac:dyDescent="0.25">
      <c r="A19" s="10" t="s">
        <v>17</v>
      </c>
      <c r="B19" s="21">
        <f>3300+900</f>
        <v>4200</v>
      </c>
      <c r="C19" s="22" t="s">
        <v>137</v>
      </c>
      <c r="G19" s="2"/>
    </row>
    <row r="20" spans="1:9" ht="15" customHeight="1" x14ac:dyDescent="0.25">
      <c r="A20" s="23" t="s">
        <v>18</v>
      </c>
      <c r="B20" s="24">
        <v>500</v>
      </c>
      <c r="C20" s="22" t="s">
        <v>137</v>
      </c>
      <c r="G20" s="2"/>
    </row>
    <row r="21" spans="1:9" ht="15" customHeight="1" x14ac:dyDescent="0.25">
      <c r="B21" s="24"/>
      <c r="C21" s="201"/>
      <c r="G21" s="2"/>
    </row>
    <row r="22" spans="1:9" ht="15" customHeight="1" x14ac:dyDescent="0.25">
      <c r="A22" s="6" t="s">
        <v>19</v>
      </c>
      <c r="B22" s="6"/>
      <c r="C22" s="6"/>
      <c r="G22" s="2"/>
    </row>
    <row r="23" spans="1:9" ht="15" customHeight="1" x14ac:dyDescent="0.25">
      <c r="A23" s="25" t="s">
        <v>20</v>
      </c>
      <c r="B23" s="9" t="s">
        <v>21</v>
      </c>
      <c r="C23" s="9" t="s">
        <v>5</v>
      </c>
      <c r="G23" s="2"/>
    </row>
    <row r="24" spans="1:9" ht="45" x14ac:dyDescent="0.25">
      <c r="A24" s="10" t="s">
        <v>22</v>
      </c>
      <c r="B24" s="26" t="s">
        <v>23</v>
      </c>
      <c r="C24" s="27" t="s">
        <v>24</v>
      </c>
      <c r="G24" s="2"/>
    </row>
    <row r="25" spans="1:9" ht="15" customHeight="1" x14ac:dyDescent="0.25">
      <c r="A25" s="10" t="s">
        <v>25</v>
      </c>
      <c r="B25" s="26" t="s">
        <v>23</v>
      </c>
      <c r="C25" s="27" t="s">
        <v>26</v>
      </c>
      <c r="G25" s="2"/>
    </row>
    <row r="26" spans="1:9" ht="15" customHeight="1" x14ac:dyDescent="0.25">
      <c r="A26" s="10" t="s">
        <v>27</v>
      </c>
      <c r="B26" s="10" t="s">
        <v>23</v>
      </c>
      <c r="C26" s="27" t="s">
        <v>28</v>
      </c>
      <c r="G26" s="2"/>
    </row>
    <row r="27" spans="1:9" ht="15" customHeight="1" x14ac:dyDescent="0.25">
      <c r="G27" s="2"/>
    </row>
    <row r="28" spans="1:9" ht="15.75" x14ac:dyDescent="0.25">
      <c r="A28" s="200" t="s">
        <v>29</v>
      </c>
      <c r="B28" s="200"/>
      <c r="C28" s="200"/>
      <c r="D28" s="200"/>
      <c r="E28" s="200"/>
      <c r="F28" s="200"/>
    </row>
    <row r="29" spans="1:9" x14ac:dyDescent="0.25">
      <c r="A29" s="25" t="s">
        <v>30</v>
      </c>
      <c r="B29" s="9" t="s">
        <v>31</v>
      </c>
      <c r="C29" s="9" t="s">
        <v>32</v>
      </c>
      <c r="D29" s="9" t="s">
        <v>33</v>
      </c>
      <c r="E29" s="216" t="s">
        <v>5</v>
      </c>
      <c r="F29" s="216"/>
    </row>
    <row r="30" spans="1:9" ht="60" customHeight="1" x14ac:dyDescent="0.25">
      <c r="A30" s="208" t="s">
        <v>34</v>
      </c>
      <c r="B30" s="190"/>
      <c r="C30" s="28" t="s">
        <v>98</v>
      </c>
      <c r="D30" s="29"/>
      <c r="E30" s="29"/>
      <c r="F30" s="30"/>
      <c r="G30" s="6"/>
      <c r="I30" s="6"/>
    </row>
    <row r="31" spans="1:9" x14ac:dyDescent="0.25">
      <c r="A31" s="31" t="s">
        <v>35</v>
      </c>
      <c r="B31" s="32">
        <f>ROUND((D31*(2088/12))+(SUM($B$16:$B$17)/12),1)</f>
        <v>26</v>
      </c>
      <c r="C31" s="33">
        <v>55.670192307692304</v>
      </c>
      <c r="D31" s="34">
        <v>0.05</v>
      </c>
      <c r="E31" s="10"/>
      <c r="F31" s="10"/>
    </row>
    <row r="32" spans="1:9" x14ac:dyDescent="0.25">
      <c r="A32" s="31" t="s">
        <v>36</v>
      </c>
      <c r="B32" s="32">
        <f>ROUND((D32*(2088/12))+(SUM($B$16:$B$17)/12),1)</f>
        <v>46.9</v>
      </c>
      <c r="C32" s="33">
        <v>46.391826923076927</v>
      </c>
      <c r="D32" s="34">
        <f>ROUND(1/6,2)</f>
        <v>0.17</v>
      </c>
      <c r="E32" s="10">
        <f>1/6</f>
        <v>0.16666666666666666</v>
      </c>
      <c r="F32" s="10" t="s">
        <v>37</v>
      </c>
    </row>
    <row r="33" spans="1:21" x14ac:dyDescent="0.25">
      <c r="A33" s="31" t="s">
        <v>38</v>
      </c>
      <c r="B33" s="32">
        <f>ROUND((D33*(2088/12))+(SUM($B$16:$B$17)/12),1)</f>
        <v>191.3</v>
      </c>
      <c r="C33" s="33">
        <v>31.676400000000001</v>
      </c>
      <c r="D33" s="34">
        <v>1</v>
      </c>
      <c r="E33" s="10"/>
      <c r="F33" s="10"/>
    </row>
    <row r="34" spans="1:21" x14ac:dyDescent="0.25">
      <c r="A34" s="31" t="s">
        <v>101</v>
      </c>
      <c r="B34" s="32">
        <f>ROUND('Directcare Schedule'!C41+'Directcare Schedule'!C39,1)</f>
        <v>1282.7</v>
      </c>
      <c r="C34" s="33">
        <v>26.397000000000002</v>
      </c>
      <c r="D34" s="34">
        <f t="shared" ref="D34:D36" si="1">ROUND(B34/(2080/12),1)</f>
        <v>7.4</v>
      </c>
      <c r="E34" s="10"/>
      <c r="F34" s="10"/>
    </row>
    <row r="35" spans="1:21" x14ac:dyDescent="0.25">
      <c r="A35" s="31" t="s">
        <v>39</v>
      </c>
      <c r="B35" s="32">
        <f>ROUND(D35*2080/12,1)</f>
        <v>152.9</v>
      </c>
      <c r="C35" s="33">
        <v>26.397000000000002</v>
      </c>
      <c r="D35" s="34">
        <f>D34*SUM('Directcare Schedule'!C48:C50)</f>
        <v>0.88230769230769235</v>
      </c>
      <c r="E35" s="10"/>
      <c r="F35" s="10"/>
    </row>
    <row r="36" spans="1:21" x14ac:dyDescent="0.25">
      <c r="A36" s="31" t="s">
        <v>40</v>
      </c>
      <c r="B36" s="32">
        <f>ROUNDUP(Beds*E36*(52/12)+(E36*Beds*(52/12)*SUM('Directcare Schedule'!C48:C50)),1)</f>
        <v>14.6</v>
      </c>
      <c r="C36" s="33">
        <v>26.397000000000002</v>
      </c>
      <c r="D36" s="34">
        <f t="shared" si="1"/>
        <v>0.1</v>
      </c>
      <c r="E36" s="10">
        <v>0.5</v>
      </c>
      <c r="F36" s="10" t="s">
        <v>41</v>
      </c>
    </row>
    <row r="37" spans="1:21" x14ac:dyDescent="0.25">
      <c r="A37" s="31" t="s">
        <v>42</v>
      </c>
      <c r="B37" s="32">
        <f>ROUND(((2080/12)*F37)+((2080/12)*F37)*SUM('Directcare Schedule'!C48:C50),1)</f>
        <v>64</v>
      </c>
      <c r="C37" s="33">
        <v>29.834134615384617</v>
      </c>
      <c r="D37" s="34">
        <v>0.33</v>
      </c>
      <c r="E37" s="10" t="s">
        <v>138</v>
      </c>
      <c r="F37">
        <v>0.33</v>
      </c>
    </row>
    <row r="38" spans="1:21" x14ac:dyDescent="0.25">
      <c r="A38" s="35" t="s">
        <v>43</v>
      </c>
      <c r="B38" s="36">
        <f>SUM(B31:B37)</f>
        <v>1778.4</v>
      </c>
      <c r="C38" s="37"/>
      <c r="D38" s="38">
        <f>SUM(D31:D37)</f>
        <v>9.9323076923076936</v>
      </c>
      <c r="E38" s="39"/>
      <c r="F38" s="40"/>
    </row>
    <row r="39" spans="1:21" x14ac:dyDescent="0.25">
      <c r="A39" s="41"/>
      <c r="B39" s="42"/>
      <c r="E39" s="43"/>
    </row>
    <row r="40" spans="1:21" ht="15.75" x14ac:dyDescent="0.25">
      <c r="A40" s="204" t="s">
        <v>44</v>
      </c>
      <c r="B40" s="200"/>
      <c r="C40" s="200"/>
      <c r="D40" s="200"/>
      <c r="E40" s="205"/>
      <c r="J40" s="217"/>
    </row>
    <row r="41" spans="1:21" x14ac:dyDescent="0.25">
      <c r="A41" s="44" t="s">
        <v>45</v>
      </c>
      <c r="B41" s="9" t="s">
        <v>46</v>
      </c>
      <c r="C41" s="9" t="s">
        <v>4</v>
      </c>
      <c r="D41" s="19" t="s">
        <v>47</v>
      </c>
      <c r="E41" s="45" t="s">
        <v>5</v>
      </c>
      <c r="G41" s="46"/>
      <c r="J41" s="217"/>
      <c r="O41" s="46"/>
      <c r="P41" s="46"/>
      <c r="Q41" s="46"/>
      <c r="R41" s="46"/>
      <c r="S41" s="46"/>
      <c r="T41" s="46"/>
      <c r="U41" s="46"/>
    </row>
    <row r="42" spans="1:21" ht="15.75" x14ac:dyDescent="0.25">
      <c r="A42" s="47" t="s">
        <v>48</v>
      </c>
      <c r="B42" s="48">
        <v>700</v>
      </c>
      <c r="C42" s="49">
        <f>D42*((D33+D34)*2)</f>
        <v>8400</v>
      </c>
      <c r="D42" s="50">
        <v>500</v>
      </c>
      <c r="E42" s="51" t="s">
        <v>49</v>
      </c>
      <c r="G42" s="46"/>
      <c r="I42" s="7"/>
      <c r="J42" s="52"/>
      <c r="O42" s="46"/>
      <c r="P42" s="46"/>
      <c r="Q42" s="46"/>
      <c r="R42" s="46"/>
      <c r="S42" s="46"/>
      <c r="T42" s="46"/>
      <c r="U42" s="46"/>
    </row>
    <row r="43" spans="1:21" ht="15.75" x14ac:dyDescent="0.25">
      <c r="A43" s="53" t="s">
        <v>18</v>
      </c>
      <c r="B43" s="48">
        <v>413.84615384615387</v>
      </c>
      <c r="C43" s="49">
        <f>B20*SUM(D31:D37)</f>
        <v>4966.1538461538466</v>
      </c>
      <c r="D43" s="50">
        <f>B20</f>
        <v>500</v>
      </c>
      <c r="E43" s="51" t="s">
        <v>50</v>
      </c>
      <c r="G43" s="46"/>
      <c r="I43" s="7"/>
      <c r="J43" s="52"/>
      <c r="O43" s="46"/>
      <c r="P43" s="46"/>
      <c r="Q43" s="46"/>
      <c r="R43" s="46"/>
      <c r="S43" s="46"/>
      <c r="T43" s="46"/>
      <c r="U43" s="46"/>
    </row>
    <row r="44" spans="1:21" ht="30" x14ac:dyDescent="0.25">
      <c r="A44" s="54" t="s">
        <v>51</v>
      </c>
      <c r="B44" s="48">
        <f>0.656*250*6</f>
        <v>984</v>
      </c>
      <c r="C44" s="49">
        <f>B44*12</f>
        <v>11808</v>
      </c>
      <c r="D44" s="50">
        <v>250</v>
      </c>
      <c r="E44" s="55" t="s">
        <v>128</v>
      </c>
      <c r="G44" s="46"/>
      <c r="I44" s="7"/>
      <c r="J44" s="52"/>
      <c r="O44" s="46"/>
      <c r="P44" s="46"/>
      <c r="Q44" s="46"/>
      <c r="R44" s="46"/>
      <c r="S44" s="46"/>
      <c r="T44" s="46"/>
      <c r="U44" s="46"/>
    </row>
    <row r="45" spans="1:21" x14ac:dyDescent="0.25">
      <c r="A45" s="47" t="s">
        <v>52</v>
      </c>
      <c r="B45" s="48">
        <v>3476.3076923076928</v>
      </c>
      <c r="C45" s="49">
        <f>SUM(D31:D37)*D45</f>
        <v>41715.692307692312</v>
      </c>
      <c r="D45" s="50">
        <f>B19</f>
        <v>4200</v>
      </c>
      <c r="E45" s="51" t="s">
        <v>53</v>
      </c>
      <c r="G45" s="46"/>
      <c r="I45" s="6"/>
      <c r="J45" s="56"/>
      <c r="O45" s="46"/>
      <c r="P45" s="46"/>
      <c r="Q45" s="46"/>
      <c r="R45" s="46"/>
      <c r="S45" s="46"/>
      <c r="T45" s="46"/>
      <c r="U45" s="46"/>
    </row>
    <row r="46" spans="1:21" x14ac:dyDescent="0.25">
      <c r="A46" s="47" t="s">
        <v>54</v>
      </c>
      <c r="B46" s="48">
        <v>2600</v>
      </c>
      <c r="C46" s="49">
        <v>31200</v>
      </c>
      <c r="D46" s="50">
        <v>31200</v>
      </c>
      <c r="E46" s="51" t="s">
        <v>4</v>
      </c>
    </row>
    <row r="47" spans="1:21" x14ac:dyDescent="0.25">
      <c r="A47" s="47" t="s">
        <v>55</v>
      </c>
      <c r="B47" s="48">
        <v>858.86623146655393</v>
      </c>
      <c r="C47" s="49">
        <f>B47*12</f>
        <v>10306.394777598647</v>
      </c>
      <c r="D47" s="50">
        <v>86.471971879377321</v>
      </c>
      <c r="E47" s="51" t="s">
        <v>56</v>
      </c>
    </row>
    <row r="48" spans="1:21" x14ac:dyDescent="0.25">
      <c r="A48" s="47" t="s">
        <v>57</v>
      </c>
      <c r="B48" s="48">
        <v>500</v>
      </c>
      <c r="C48" s="49">
        <f>D48</f>
        <v>6000</v>
      </c>
      <c r="D48" s="50">
        <v>6000</v>
      </c>
      <c r="E48" s="51" t="s">
        <v>58</v>
      </c>
    </row>
    <row r="49" spans="1:6" x14ac:dyDescent="0.25">
      <c r="A49" s="47" t="s">
        <v>59</v>
      </c>
      <c r="B49" s="48">
        <v>75</v>
      </c>
      <c r="C49" s="49">
        <f>D49</f>
        <v>900</v>
      </c>
      <c r="D49" s="50">
        <v>900</v>
      </c>
      <c r="E49" s="51" t="s">
        <v>58</v>
      </c>
    </row>
    <row r="50" spans="1:6" x14ac:dyDescent="0.25">
      <c r="A50" s="47" t="s">
        <v>60</v>
      </c>
      <c r="B50" s="48">
        <v>930</v>
      </c>
      <c r="C50" s="49">
        <f>B50*12</f>
        <v>11160</v>
      </c>
      <c r="D50" s="50">
        <v>155</v>
      </c>
      <c r="E50" s="51" t="s">
        <v>61</v>
      </c>
    </row>
    <row r="51" spans="1:6" x14ac:dyDescent="0.25">
      <c r="A51" s="47" t="s">
        <v>139</v>
      </c>
      <c r="B51" s="48">
        <v>450</v>
      </c>
      <c r="C51" s="49">
        <f t="shared" ref="C51:C56" si="2">B51*12</f>
        <v>5400</v>
      </c>
      <c r="D51" s="50">
        <v>75</v>
      </c>
      <c r="E51" s="51" t="s">
        <v>61</v>
      </c>
    </row>
    <row r="52" spans="1:6" x14ac:dyDescent="0.25">
      <c r="A52" s="57" t="s">
        <v>62</v>
      </c>
      <c r="B52" s="48">
        <v>420</v>
      </c>
      <c r="C52" s="49">
        <f t="shared" si="2"/>
        <v>5040</v>
      </c>
      <c r="D52" s="50">
        <v>70</v>
      </c>
      <c r="E52" s="51" t="s">
        <v>61</v>
      </c>
    </row>
    <row r="53" spans="1:6" x14ac:dyDescent="0.25">
      <c r="A53" s="47" t="s">
        <v>63</v>
      </c>
      <c r="B53" s="48">
        <v>300</v>
      </c>
      <c r="C53" s="49">
        <f t="shared" si="2"/>
        <v>3600</v>
      </c>
      <c r="D53" s="50">
        <v>50</v>
      </c>
      <c r="E53" s="51" t="s">
        <v>61</v>
      </c>
    </row>
    <row r="54" spans="1:6" x14ac:dyDescent="0.25">
      <c r="A54" s="47" t="s">
        <v>64</v>
      </c>
      <c r="B54" s="48">
        <v>2124</v>
      </c>
      <c r="C54" s="49">
        <f t="shared" si="2"/>
        <v>25488</v>
      </c>
      <c r="D54" s="50">
        <v>354</v>
      </c>
      <c r="E54" s="51" t="s">
        <v>61</v>
      </c>
    </row>
    <row r="55" spans="1:6" x14ac:dyDescent="0.25">
      <c r="A55" s="57" t="s">
        <v>65</v>
      </c>
      <c r="B55" s="48">
        <v>1380</v>
      </c>
      <c r="C55" s="49">
        <f t="shared" si="2"/>
        <v>16560</v>
      </c>
      <c r="D55" s="50">
        <v>230</v>
      </c>
      <c r="E55" s="51" t="s">
        <v>61</v>
      </c>
    </row>
    <row r="56" spans="1:6" x14ac:dyDescent="0.25">
      <c r="A56" s="57" t="s">
        <v>66</v>
      </c>
      <c r="B56" s="48">
        <v>1002</v>
      </c>
      <c r="C56" s="49">
        <f t="shared" si="2"/>
        <v>12024</v>
      </c>
      <c r="D56" s="50">
        <v>167</v>
      </c>
      <c r="E56" s="51" t="s">
        <v>61</v>
      </c>
    </row>
    <row r="57" spans="1:6" x14ac:dyDescent="0.25">
      <c r="A57" s="58" t="s">
        <v>67</v>
      </c>
      <c r="B57" s="48">
        <v>675</v>
      </c>
      <c r="C57" s="49">
        <f>D57</f>
        <v>8100</v>
      </c>
      <c r="D57" s="50">
        <v>8100</v>
      </c>
      <c r="E57" s="59" t="s">
        <v>58</v>
      </c>
    </row>
    <row r="58" spans="1:6" x14ac:dyDescent="0.25">
      <c r="A58" s="47" t="s">
        <v>68</v>
      </c>
      <c r="B58" s="48">
        <v>91.666666666666671</v>
      </c>
      <c r="C58" s="49">
        <f>D58</f>
        <v>1100</v>
      </c>
      <c r="D58" s="50">
        <v>1100</v>
      </c>
      <c r="E58" s="59" t="s">
        <v>58</v>
      </c>
    </row>
    <row r="59" spans="1:6" x14ac:dyDescent="0.25">
      <c r="A59" s="60" t="s">
        <v>69</v>
      </c>
      <c r="B59" s="61">
        <v>3390</v>
      </c>
      <c r="C59" s="62">
        <f>B59*12</f>
        <v>40680</v>
      </c>
      <c r="D59" s="63">
        <f>B59</f>
        <v>3390</v>
      </c>
      <c r="E59" s="59" t="s">
        <v>70</v>
      </c>
    </row>
    <row r="60" spans="1:6" x14ac:dyDescent="0.25">
      <c r="A60" s="35" t="s">
        <v>43</v>
      </c>
      <c r="B60" s="64">
        <v>20370.686744287068</v>
      </c>
      <c r="C60" s="64"/>
      <c r="D60" s="65"/>
      <c r="E60" s="66"/>
    </row>
    <row r="61" spans="1:6" x14ac:dyDescent="0.25">
      <c r="B61" s="67"/>
      <c r="C61" s="68"/>
    </row>
    <row r="62" spans="1:6" ht="15.75" x14ac:dyDescent="0.25">
      <c r="F62" s="7"/>
    </row>
    <row r="63" spans="1:6" x14ac:dyDescent="0.25">
      <c r="A63" s="218" t="s">
        <v>71</v>
      </c>
      <c r="B63" s="219"/>
    </row>
    <row r="64" spans="1:6" ht="30" x14ac:dyDescent="0.25">
      <c r="A64" s="69" t="s">
        <v>72</v>
      </c>
      <c r="B64" s="70"/>
    </row>
    <row r="66" spans="4:4" x14ac:dyDescent="0.25">
      <c r="D66" s="71"/>
    </row>
  </sheetData>
  <mergeCells count="4">
    <mergeCell ref="E29:F29"/>
    <mergeCell ref="J40:J41"/>
    <mergeCell ref="A63:B63"/>
    <mergeCell ref="A8:C8"/>
  </mergeCells>
  <hyperlinks>
    <hyperlink ref="E44" r:id="rId1" location=":~:text=The%20privately%20owned%20vehicle%20mileage%20reimbursement%20rate%20is,%240.655%20per%20mile%2C%20as%20of%20January%201%2C%202023." display="miles per month per youth at OFM milage" xr:uid="{48F27C67-0E90-4BF2-BEDA-01C3D504CDBA}"/>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3C1D-DF71-4375-B270-49B64BC888EF}">
  <dimension ref="B1:J39"/>
  <sheetViews>
    <sheetView zoomScaleNormal="100" workbookViewId="0">
      <selection activeCell="F28" sqref="F28"/>
    </sheetView>
  </sheetViews>
  <sheetFormatPr defaultRowHeight="15" x14ac:dyDescent="0.25"/>
  <cols>
    <col min="2" max="2" width="31.7109375" customWidth="1"/>
    <col min="3" max="4" width="12.5703125" customWidth="1"/>
    <col min="5" max="5" width="16.5703125" customWidth="1"/>
    <col min="6" max="6" width="16.7109375" customWidth="1"/>
    <col min="7" max="7" width="10.140625" customWidth="1"/>
    <col min="8" max="8" width="16.28515625" customWidth="1"/>
    <col min="9" max="9" width="19.7109375" customWidth="1"/>
    <col min="10" max="10" width="23.28515625" customWidth="1"/>
    <col min="11" max="11" width="19.85546875" customWidth="1"/>
  </cols>
  <sheetData>
    <row r="1" spans="2:8" ht="19.5" x14ac:dyDescent="0.3">
      <c r="C1" s="206"/>
      <c r="D1" s="206"/>
      <c r="E1" s="206"/>
    </row>
    <row r="2" spans="2:8" x14ac:dyDescent="0.25">
      <c r="B2" s="117"/>
      <c r="C2" s="117"/>
      <c r="D2" s="117"/>
      <c r="E2" s="117"/>
    </row>
    <row r="3" spans="2:8" x14ac:dyDescent="0.25">
      <c r="B3" s="118" t="s">
        <v>45</v>
      </c>
      <c r="C3" s="119" t="s">
        <v>46</v>
      </c>
      <c r="D3" s="119" t="s">
        <v>92</v>
      </c>
      <c r="E3" s="120" t="s">
        <v>4</v>
      </c>
      <c r="F3" s="6"/>
    </row>
    <row r="4" spans="2:8" x14ac:dyDescent="0.25">
      <c r="B4" s="121" t="str">
        <f>'EPS Cost Assumptions'!A31</f>
        <v>Executive*</v>
      </c>
      <c r="C4" s="122">
        <f>'EPS Cost Assumptions'!C31*'EPS Cost Assumptions'!B31</f>
        <v>1447.425</v>
      </c>
      <c r="D4" s="123">
        <f t="shared" ref="D4:D10" si="0">C4/$C$20</f>
        <v>1.7985251460950157E-2</v>
      </c>
      <c r="E4" s="124">
        <f t="shared" ref="E4:E10" si="1">C4*12</f>
        <v>17369.099999999999</v>
      </c>
      <c r="F4" s="125"/>
      <c r="G4" s="116"/>
    </row>
    <row r="5" spans="2:8" x14ac:dyDescent="0.25">
      <c r="B5" s="121" t="str">
        <f>'EPS Cost Assumptions'!A32</f>
        <v>Directors*</v>
      </c>
      <c r="C5" s="122">
        <f>'EPS Cost Assumptions'!C32*'EPS Cost Assumptions'!B32</f>
        <v>2175.776682692308</v>
      </c>
      <c r="D5" s="123">
        <f t="shared" si="0"/>
        <v>2.7035522228159053E-2</v>
      </c>
      <c r="E5" s="124">
        <f t="shared" si="1"/>
        <v>26109.320192307696</v>
      </c>
      <c r="G5" s="116"/>
    </row>
    <row r="6" spans="2:8" ht="30" x14ac:dyDescent="0.25">
      <c r="B6" s="121" t="str">
        <f>'EPS Cost Assumptions'!A33</f>
        <v>Program Management/Direct Care Supervisor*</v>
      </c>
      <c r="C6" s="122">
        <f>'EPS Cost Assumptions'!C33*'EPS Cost Assumptions'!B33</f>
        <v>6059.6953200000007</v>
      </c>
      <c r="D6" s="123">
        <f t="shared" si="0"/>
        <v>7.5295883452989168E-2</v>
      </c>
      <c r="E6" s="124">
        <f t="shared" si="1"/>
        <v>72716.343840000016</v>
      </c>
      <c r="G6" s="116"/>
    </row>
    <row r="7" spans="2:8" x14ac:dyDescent="0.25">
      <c r="B7" s="121" t="str">
        <f>'EPS Cost Assumptions'!A34</f>
        <v>Direct Care Staff</v>
      </c>
      <c r="C7" s="122">
        <f>'EPS Cost Assumptions'!C34*'EPS Cost Assumptions'!B34</f>
        <v>33859.431900000003</v>
      </c>
      <c r="D7" s="123">
        <f t="shared" si="0"/>
        <v>0.42072673682326711</v>
      </c>
      <c r="E7" s="124">
        <f t="shared" si="1"/>
        <v>406313.18280000007</v>
      </c>
      <c r="G7" s="116"/>
    </row>
    <row r="8" spans="2:8" ht="18" customHeight="1" x14ac:dyDescent="0.25">
      <c r="B8" s="121" t="str">
        <f>'EPS Cost Assumptions'!A35</f>
        <v>Direct Care PTO/Holliday Coverage</v>
      </c>
      <c r="C8" s="122">
        <f>'EPS Cost Assumptions'!C35*'EPS Cost Assumptions'!B35</f>
        <v>4036.1013000000003</v>
      </c>
      <c r="D8" s="123">
        <f t="shared" si="0"/>
        <v>5.0151335511247792E-2</v>
      </c>
      <c r="E8" s="124">
        <f t="shared" si="1"/>
        <v>48433.215600000003</v>
      </c>
      <c r="G8" s="116"/>
    </row>
    <row r="9" spans="2:8" x14ac:dyDescent="0.25">
      <c r="B9" s="121" t="str">
        <f>'EPS Cost Assumptions'!A36</f>
        <v>Administrative</v>
      </c>
      <c r="C9" s="122">
        <f>'EPS Cost Assumptions'!C36*'EPS Cost Assumptions'!B36</f>
        <v>385.39620000000002</v>
      </c>
      <c r="D9" s="123">
        <f t="shared" si="0"/>
        <v>4.7888129395959305E-3</v>
      </c>
      <c r="E9" s="124">
        <f t="shared" si="1"/>
        <v>4624.7543999999998</v>
      </c>
      <c r="G9" s="174">
        <f>E7/E11</f>
        <v>0.67891020467335439</v>
      </c>
      <c r="H9" t="s">
        <v>104</v>
      </c>
    </row>
    <row r="10" spans="2:8" x14ac:dyDescent="0.25">
      <c r="B10" s="126" t="str">
        <f>'EPS Cost Assumptions'!A37</f>
        <v>Maintenance Staff Expense</v>
      </c>
      <c r="C10" s="127">
        <f>'EPS Cost Assumptions'!C37*'EPS Cost Assumptions'!B37</f>
        <v>1909.3846153846155</v>
      </c>
      <c r="D10" s="128">
        <f t="shared" si="0"/>
        <v>2.3725417512729094E-2</v>
      </c>
      <c r="E10" s="129">
        <f t="shared" si="1"/>
        <v>22912.615384615387</v>
      </c>
      <c r="G10" s="16">
        <f>SUM('EPS Cost Assumptions'!B50:B56)/'EPS Cost Assumptions'!B60*(C18/SUM(C18,C11,C16))</f>
        <v>8.2084094962458665E-2</v>
      </c>
      <c r="H10" t="s">
        <v>105</v>
      </c>
    </row>
    <row r="11" spans="2:8" x14ac:dyDescent="0.25">
      <c r="B11" s="130" t="s">
        <v>93</v>
      </c>
      <c r="C11" s="131">
        <f>SUM(C4:C10)</f>
        <v>49873.211018076938</v>
      </c>
      <c r="D11" s="132">
        <f>SUM(D4:D10)</f>
        <v>0.61970895992893826</v>
      </c>
      <c r="E11" s="133">
        <f>SUM(E4:E10)</f>
        <v>598478.53221692319</v>
      </c>
      <c r="G11" s="116"/>
    </row>
    <row r="12" spans="2:8" x14ac:dyDescent="0.25">
      <c r="B12" s="134"/>
      <c r="C12" s="135"/>
      <c r="D12" s="134"/>
      <c r="E12" s="135"/>
    </row>
    <row r="13" spans="2:8" x14ac:dyDescent="0.25">
      <c r="B13" s="136" t="s">
        <v>94</v>
      </c>
      <c r="C13" s="137">
        <f>($C$11+C18)*0.05*'EPS Cost Assumptions'!B10</f>
        <v>702.4389776236402</v>
      </c>
      <c r="D13" s="138">
        <f>C13/$C$20</f>
        <v>8.728287578654445E-3</v>
      </c>
      <c r="E13" s="139">
        <f>C13*12</f>
        <v>8429.2677314836819</v>
      </c>
      <c r="G13" s="116"/>
    </row>
    <row r="14" spans="2:8" x14ac:dyDescent="0.25">
      <c r="B14" s="136" t="s">
        <v>7</v>
      </c>
      <c r="C14" s="137">
        <f>$C$11*'EPS Cost Assumptions'!B11</f>
        <v>8478.4458730730803</v>
      </c>
      <c r="D14" s="138">
        <f t="shared" ref="D14:D15" si="2">C14/$C$20</f>
        <v>0.10535052318791954</v>
      </c>
      <c r="E14" s="139">
        <f t="shared" ref="E14:E15" si="3">C14*12</f>
        <v>101741.35047687696</v>
      </c>
      <c r="G14" s="116"/>
    </row>
    <row r="15" spans="2:8" x14ac:dyDescent="0.25">
      <c r="B15" s="136" t="s">
        <v>8</v>
      </c>
      <c r="C15" s="137">
        <f>($C$11+C18)*'EPS Cost Assumptions'!B12</f>
        <v>1053.65846643546</v>
      </c>
      <c r="D15" s="138">
        <f t="shared" si="2"/>
        <v>1.3092431367981664E-2</v>
      </c>
      <c r="E15" s="139">
        <f t="shared" si="3"/>
        <v>12643.90159722552</v>
      </c>
      <c r="G15" s="116"/>
    </row>
    <row r="16" spans="2:8" x14ac:dyDescent="0.25">
      <c r="B16" s="140" t="s">
        <v>2</v>
      </c>
      <c r="C16" s="141">
        <f>SUM(C13:C15)</f>
        <v>10234.54331713218</v>
      </c>
      <c r="D16" s="142">
        <f>SUM(D13:D15)</f>
        <v>0.12717124213455566</v>
      </c>
      <c r="E16" s="143">
        <f>SUM(E13:E15)</f>
        <v>122814.51980558615</v>
      </c>
      <c r="G16" s="116"/>
    </row>
    <row r="17" spans="2:8" x14ac:dyDescent="0.25">
      <c r="B17" s="144"/>
      <c r="C17" s="145"/>
      <c r="D17" s="146"/>
      <c r="E17" s="147"/>
    </row>
    <row r="18" spans="2:8" x14ac:dyDescent="0.25">
      <c r="B18" s="140" t="s">
        <v>95</v>
      </c>
      <c r="C18" s="141">
        <f>'EPS Cost Assumptions'!B60</f>
        <v>20370.686744287068</v>
      </c>
      <c r="D18" s="142">
        <f>C18/$C$20</f>
        <v>0.25311979793650585</v>
      </c>
      <c r="E18" s="143">
        <f t="shared" ref="E18" si="4">C18*12</f>
        <v>244448.2409314448</v>
      </c>
    </row>
    <row r="20" spans="2:8" x14ac:dyDescent="0.25">
      <c r="B20" s="148" t="s">
        <v>96</v>
      </c>
      <c r="C20" s="149">
        <f>SUM(C11,C16,C18)</f>
        <v>80478.441079496188</v>
      </c>
      <c r="D20" s="150"/>
      <c r="E20" s="151"/>
      <c r="F20" s="152"/>
      <c r="G20" s="153"/>
      <c r="H20" s="154"/>
    </row>
    <row r="21" spans="2:8" x14ac:dyDescent="0.25">
      <c r="B21" s="155" t="s">
        <v>97</v>
      </c>
      <c r="C21" s="156">
        <f>C20/Beds</f>
        <v>13413.073513249365</v>
      </c>
      <c r="D21" s="157"/>
      <c r="E21" s="158"/>
      <c r="F21" s="152"/>
      <c r="G21" s="153"/>
      <c r="H21" s="154"/>
    </row>
    <row r="22" spans="2:8" x14ac:dyDescent="0.25">
      <c r="B22" s="159" t="s">
        <v>124</v>
      </c>
      <c r="C22" s="179">
        <v>0.40002213992382241</v>
      </c>
      <c r="D22" s="160"/>
      <c r="E22" s="161"/>
      <c r="G22" s="153"/>
    </row>
    <row r="23" spans="2:8" x14ac:dyDescent="0.25">
      <c r="B23" s="162" t="s">
        <v>125</v>
      </c>
      <c r="C23" s="178">
        <f>1-C22</f>
        <v>0.59997786007617759</v>
      </c>
      <c r="D23" s="163"/>
      <c r="E23" s="164"/>
    </row>
    <row r="24" spans="2:8" x14ac:dyDescent="0.25">
      <c r="D24" s="165"/>
      <c r="E24" s="166"/>
    </row>
    <row r="28" spans="2:8" x14ac:dyDescent="0.25">
      <c r="C28" s="165"/>
      <c r="D28" s="165"/>
      <c r="E28" s="71"/>
    </row>
    <row r="29" spans="2:8" x14ac:dyDescent="0.25">
      <c r="C29" s="154"/>
      <c r="D29" s="167"/>
      <c r="E29" s="154"/>
    </row>
    <row r="30" spans="2:8" x14ac:dyDescent="0.25">
      <c r="C30" s="165"/>
      <c r="D30" s="165"/>
      <c r="E30" s="71"/>
    </row>
    <row r="31" spans="2:8" x14ac:dyDescent="0.25">
      <c r="C31" s="154"/>
      <c r="D31" s="167"/>
      <c r="E31" s="154"/>
    </row>
    <row r="32" spans="2:8" x14ac:dyDescent="0.25">
      <c r="C32" s="168"/>
      <c r="D32" s="168"/>
      <c r="E32" s="168"/>
    </row>
    <row r="34" spans="3:10" x14ac:dyDescent="0.25">
      <c r="C34" s="154"/>
      <c r="D34" s="154"/>
      <c r="E34" s="154"/>
    </row>
    <row r="35" spans="3:10" x14ac:dyDescent="0.25">
      <c r="C35" s="154"/>
      <c r="D35" s="154"/>
      <c r="E35" s="154"/>
    </row>
    <row r="36" spans="3:10" ht="15.75" hidden="1" thickBot="1" x14ac:dyDescent="0.3">
      <c r="C36" s="169"/>
      <c r="D36" s="169"/>
      <c r="E36" s="169"/>
    </row>
    <row r="37" spans="3:10" x14ac:dyDescent="0.25">
      <c r="J37" s="166"/>
    </row>
    <row r="38" spans="3:10" x14ac:dyDescent="0.25">
      <c r="C38" s="125"/>
      <c r="D38" s="125"/>
    </row>
    <row r="39" spans="3:10" x14ac:dyDescent="0.25">
      <c r="C39" s="154"/>
      <c r="D39" s="154"/>
      <c r="E39" s="12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63DF-D0BC-4EB6-9FA8-641B59D19CA9}">
  <dimension ref="B1:S52"/>
  <sheetViews>
    <sheetView topLeftCell="A11" zoomScaleNormal="100" workbookViewId="0">
      <selection activeCell="I27" sqref="I27"/>
    </sheetView>
  </sheetViews>
  <sheetFormatPr defaultRowHeight="15" x14ac:dyDescent="0.25"/>
  <cols>
    <col min="2" max="2" width="21.140625" bestFit="1" customWidth="1"/>
    <col min="3" max="3" width="9.85546875" customWidth="1"/>
    <col min="4" max="4" width="15.140625" customWidth="1"/>
    <col min="5" max="5" width="11.42578125" customWidth="1"/>
    <col min="6" max="6" width="9.5703125" customWidth="1"/>
    <col min="8" max="8" width="31.140625" customWidth="1"/>
    <col min="9" max="9" width="18" customWidth="1"/>
    <col min="11" max="12" width="9.42578125" customWidth="1"/>
    <col min="13" max="13" width="9.5703125" customWidth="1"/>
    <col min="15" max="15" width="3.85546875" customWidth="1"/>
  </cols>
  <sheetData>
    <row r="1" spans="2:19" ht="20.25" thickBot="1" x14ac:dyDescent="0.35">
      <c r="B1" s="232" t="s">
        <v>73</v>
      </c>
      <c r="C1" s="232"/>
      <c r="D1" s="232"/>
      <c r="E1" s="232"/>
      <c r="F1" s="232"/>
    </row>
    <row r="2" spans="2:19" ht="15.75" thickTop="1" x14ac:dyDescent="0.25"/>
    <row r="4" spans="2:19" ht="45" x14ac:dyDescent="0.25">
      <c r="B4" s="233" t="s">
        <v>74</v>
      </c>
      <c r="C4" s="233"/>
      <c r="D4" s="72" t="s">
        <v>75</v>
      </c>
      <c r="E4" s="72" t="s">
        <v>76</v>
      </c>
      <c r="F4" s="73" t="s">
        <v>77</v>
      </c>
      <c r="J4" s="74"/>
      <c r="K4" s="75"/>
      <c r="L4" s="75"/>
      <c r="M4" s="75"/>
      <c r="N4" s="75"/>
      <c r="O4" s="74"/>
    </row>
    <row r="5" spans="2:19" ht="14.45" customHeight="1" x14ac:dyDescent="0.25">
      <c r="B5" s="234" t="s">
        <v>78</v>
      </c>
      <c r="C5" s="76">
        <v>0.33333333333333331</v>
      </c>
      <c r="D5" s="77">
        <v>1</v>
      </c>
      <c r="E5" s="77">
        <v>2</v>
      </c>
      <c r="F5" s="78"/>
      <c r="H5" s="79"/>
      <c r="J5" s="80"/>
      <c r="K5" s="74"/>
      <c r="L5" s="74"/>
      <c r="N5" s="74"/>
      <c r="O5" s="74"/>
      <c r="P5" s="81"/>
      <c r="Q5" s="81"/>
      <c r="R5" s="81"/>
      <c r="S5" s="81"/>
    </row>
    <row r="6" spans="2:19" x14ac:dyDescent="0.25">
      <c r="B6" s="235"/>
      <c r="C6" s="76">
        <v>0.375</v>
      </c>
      <c r="D6" s="82">
        <v>1</v>
      </c>
      <c r="E6" s="82">
        <v>2</v>
      </c>
      <c r="F6" s="83"/>
      <c r="H6" s="79"/>
      <c r="J6" s="80"/>
      <c r="K6" s="74"/>
      <c r="L6" s="74"/>
      <c r="M6" s="74"/>
      <c r="N6" s="74"/>
      <c r="O6" s="74"/>
      <c r="P6" s="81"/>
      <c r="Q6" s="81"/>
      <c r="R6" s="81"/>
      <c r="S6" s="81"/>
    </row>
    <row r="7" spans="2:19" x14ac:dyDescent="0.25">
      <c r="B7" s="235"/>
      <c r="C7" s="76">
        <v>0.41666666666666669</v>
      </c>
      <c r="D7" s="82">
        <v>1</v>
      </c>
      <c r="E7" s="82">
        <v>2</v>
      </c>
      <c r="F7" s="83"/>
      <c r="H7" s="79"/>
      <c r="J7" s="80"/>
      <c r="K7" s="74"/>
      <c r="L7" s="74"/>
      <c r="M7" s="74"/>
      <c r="N7" s="74"/>
      <c r="O7" s="74"/>
      <c r="P7" s="81"/>
      <c r="Q7" s="81"/>
      <c r="R7" s="81"/>
      <c r="S7" s="81"/>
    </row>
    <row r="8" spans="2:19" x14ac:dyDescent="0.25">
      <c r="B8" s="235"/>
      <c r="C8" s="76">
        <v>0.45833333333333331</v>
      </c>
      <c r="D8" s="82">
        <v>1</v>
      </c>
      <c r="E8" s="82">
        <v>2</v>
      </c>
      <c r="F8" s="83"/>
      <c r="H8" s="79"/>
      <c r="J8" s="80"/>
      <c r="K8" s="74"/>
      <c r="L8" s="74"/>
      <c r="M8" s="74"/>
      <c r="N8" s="74"/>
      <c r="O8" s="74"/>
      <c r="P8" s="81"/>
      <c r="Q8" s="81"/>
      <c r="R8" s="81"/>
      <c r="S8" s="81"/>
    </row>
    <row r="9" spans="2:19" x14ac:dyDescent="0.25">
      <c r="B9" s="236" t="s">
        <v>79</v>
      </c>
      <c r="C9" s="76">
        <v>0.5</v>
      </c>
      <c r="D9" s="82">
        <v>1</v>
      </c>
      <c r="E9" s="82">
        <v>2</v>
      </c>
      <c r="F9" s="83"/>
      <c r="H9" s="79"/>
      <c r="J9" s="80"/>
      <c r="K9" s="74"/>
      <c r="L9" s="74"/>
      <c r="M9" s="74"/>
      <c r="N9" s="74"/>
      <c r="O9" s="74"/>
      <c r="P9" s="81"/>
      <c r="Q9" s="81"/>
      <c r="R9" s="81"/>
      <c r="S9" s="81"/>
    </row>
    <row r="10" spans="2:19" x14ac:dyDescent="0.25">
      <c r="B10" s="237"/>
      <c r="C10" s="76">
        <v>0.54166666666666663</v>
      </c>
      <c r="D10" s="82">
        <v>1</v>
      </c>
      <c r="E10" s="82">
        <v>2</v>
      </c>
      <c r="F10" s="83"/>
      <c r="J10" s="80"/>
      <c r="K10" s="74"/>
      <c r="L10" s="74"/>
      <c r="M10" s="74"/>
      <c r="N10" s="74"/>
      <c r="O10" s="74"/>
      <c r="P10" s="81"/>
      <c r="Q10" s="81"/>
      <c r="R10" s="81"/>
      <c r="S10" s="81"/>
    </row>
    <row r="11" spans="2:19" x14ac:dyDescent="0.25">
      <c r="B11" s="237"/>
      <c r="C11" s="76">
        <v>0.58333333333333337</v>
      </c>
      <c r="D11" s="82">
        <v>1</v>
      </c>
      <c r="E11" s="82">
        <v>2</v>
      </c>
      <c r="F11" s="83"/>
      <c r="J11" s="80"/>
      <c r="K11" s="74"/>
      <c r="L11" s="74"/>
      <c r="M11" s="74"/>
      <c r="N11" s="74"/>
      <c r="O11" s="74"/>
      <c r="P11" s="81"/>
      <c r="Q11" s="81"/>
      <c r="R11" s="81"/>
      <c r="S11" s="81"/>
    </row>
    <row r="12" spans="2:19" x14ac:dyDescent="0.25">
      <c r="B12" s="237"/>
      <c r="C12" s="84">
        <v>0.625</v>
      </c>
      <c r="D12" s="85">
        <v>1</v>
      </c>
      <c r="E12" s="85">
        <v>2</v>
      </c>
      <c r="F12" s="83"/>
      <c r="J12" s="80"/>
      <c r="K12" s="74"/>
      <c r="L12" s="74"/>
      <c r="M12" s="74"/>
      <c r="N12" s="86"/>
      <c r="O12" s="74"/>
      <c r="P12" s="81"/>
      <c r="Q12" s="81"/>
      <c r="R12" s="81"/>
      <c r="S12" s="81"/>
    </row>
    <row r="13" spans="2:19" x14ac:dyDescent="0.25">
      <c r="B13" s="237"/>
      <c r="C13" s="76">
        <v>0.66666666666666663</v>
      </c>
      <c r="D13" s="82">
        <v>2</v>
      </c>
      <c r="E13" s="82">
        <v>2</v>
      </c>
      <c r="F13" s="87"/>
      <c r="J13" s="80"/>
      <c r="K13" s="74"/>
      <c r="L13" s="74"/>
      <c r="M13" s="74"/>
      <c r="N13" s="74"/>
      <c r="O13" s="74"/>
    </row>
    <row r="14" spans="2:19" x14ac:dyDescent="0.25">
      <c r="B14" s="237"/>
      <c r="C14" s="76">
        <v>0.70833333333333337</v>
      </c>
      <c r="D14" s="82">
        <v>2</v>
      </c>
      <c r="E14" s="82">
        <v>2</v>
      </c>
      <c r="F14" s="83"/>
      <c r="J14" s="80"/>
      <c r="K14" s="74"/>
      <c r="L14" s="74"/>
      <c r="M14" s="74"/>
      <c r="N14" s="74"/>
      <c r="O14" s="74"/>
      <c r="P14" s="213"/>
      <c r="Q14" s="213"/>
      <c r="R14" s="213"/>
      <c r="S14" s="213"/>
    </row>
    <row r="15" spans="2:19" x14ac:dyDescent="0.25">
      <c r="B15" s="237"/>
      <c r="C15" s="76">
        <v>0.75</v>
      </c>
      <c r="D15" s="82">
        <v>2</v>
      </c>
      <c r="E15" s="82">
        <v>2</v>
      </c>
      <c r="F15" s="83"/>
      <c r="K15" s="74"/>
      <c r="L15" s="74"/>
      <c r="M15" s="74"/>
      <c r="N15" s="74"/>
      <c r="O15" s="74"/>
    </row>
    <row r="16" spans="2:19" x14ac:dyDescent="0.25">
      <c r="B16" s="237"/>
      <c r="C16" s="76">
        <v>0.79166666666666663</v>
      </c>
      <c r="D16" s="82">
        <v>2</v>
      </c>
      <c r="E16" s="82">
        <v>2</v>
      </c>
      <c r="F16" s="83"/>
      <c r="K16" s="74"/>
      <c r="L16" s="74"/>
      <c r="M16" s="74"/>
      <c r="N16" s="74"/>
      <c r="O16" s="74"/>
    </row>
    <row r="17" spans="2:16" x14ac:dyDescent="0.25">
      <c r="B17" s="237"/>
      <c r="C17" s="89">
        <v>0.83333333333333337</v>
      </c>
      <c r="D17" s="82">
        <v>2</v>
      </c>
      <c r="E17" s="82">
        <v>2</v>
      </c>
      <c r="F17" s="83"/>
      <c r="K17" s="74"/>
      <c r="L17" s="74"/>
      <c r="M17" s="74"/>
      <c r="N17" s="74"/>
      <c r="O17" s="74"/>
    </row>
    <row r="18" spans="2:16" x14ac:dyDescent="0.25">
      <c r="B18" s="223" t="s">
        <v>80</v>
      </c>
      <c r="C18" s="90">
        <v>0.875</v>
      </c>
      <c r="D18" s="91"/>
      <c r="E18" s="91"/>
      <c r="F18" s="92">
        <v>2</v>
      </c>
      <c r="K18" s="74"/>
      <c r="L18" s="74"/>
      <c r="M18" s="74"/>
      <c r="N18" s="74"/>
      <c r="O18" s="74"/>
    </row>
    <row r="19" spans="2:16" x14ac:dyDescent="0.25">
      <c r="B19" s="223"/>
      <c r="C19" s="90">
        <v>0.91666666666666663</v>
      </c>
      <c r="D19" s="91"/>
      <c r="E19" s="91"/>
      <c r="F19" s="92">
        <v>2</v>
      </c>
      <c r="J19" s="80"/>
      <c r="K19" s="74"/>
      <c r="L19" s="74"/>
      <c r="M19" s="74"/>
      <c r="N19" s="74"/>
      <c r="O19" s="74"/>
    </row>
    <row r="20" spans="2:16" x14ac:dyDescent="0.25">
      <c r="B20" s="223"/>
      <c r="C20" s="90">
        <v>0.95833333333333337</v>
      </c>
      <c r="D20" s="91"/>
      <c r="E20" s="91"/>
      <c r="F20" s="92">
        <v>2</v>
      </c>
      <c r="J20" s="80"/>
      <c r="K20" s="74"/>
      <c r="L20" s="74"/>
      <c r="M20" s="74"/>
      <c r="N20" s="74"/>
      <c r="O20" s="74"/>
    </row>
    <row r="21" spans="2:16" x14ac:dyDescent="0.25">
      <c r="B21" s="223"/>
      <c r="C21" s="90">
        <v>0</v>
      </c>
      <c r="D21" s="91"/>
      <c r="E21" s="91"/>
      <c r="F21" s="92">
        <v>2</v>
      </c>
      <c r="J21" s="80"/>
      <c r="K21" s="74"/>
      <c r="L21" s="74"/>
      <c r="M21" s="74"/>
      <c r="N21" s="74"/>
      <c r="O21" s="74"/>
    </row>
    <row r="22" spans="2:16" x14ac:dyDescent="0.25">
      <c r="B22" s="223"/>
      <c r="C22" s="90">
        <v>4.1666666666666664E-2</v>
      </c>
      <c r="D22" s="91"/>
      <c r="E22" s="91"/>
      <c r="F22" s="92">
        <v>2</v>
      </c>
      <c r="J22" s="80"/>
      <c r="K22" s="74"/>
      <c r="L22" s="74"/>
      <c r="M22" s="74"/>
      <c r="N22" s="74"/>
      <c r="O22" s="74"/>
    </row>
    <row r="23" spans="2:16" x14ac:dyDescent="0.25">
      <c r="B23" s="223"/>
      <c r="C23" s="90">
        <v>8.3333333333333329E-2</v>
      </c>
      <c r="D23" s="91"/>
      <c r="E23" s="91"/>
      <c r="F23" s="92">
        <v>2</v>
      </c>
      <c r="J23" s="80"/>
      <c r="K23" s="74"/>
      <c r="L23" s="74"/>
      <c r="M23" s="74"/>
      <c r="N23" s="74"/>
      <c r="O23" s="74"/>
    </row>
    <row r="24" spans="2:16" x14ac:dyDescent="0.25">
      <c r="B24" s="223"/>
      <c r="C24" s="90">
        <v>0.125</v>
      </c>
      <c r="D24" s="91"/>
      <c r="E24" s="91"/>
      <c r="F24" s="92">
        <v>2</v>
      </c>
      <c r="J24" s="80"/>
      <c r="K24" s="74"/>
      <c r="L24" s="74"/>
      <c r="M24" s="74"/>
      <c r="N24" s="74"/>
      <c r="O24" s="74"/>
    </row>
    <row r="25" spans="2:16" x14ac:dyDescent="0.25">
      <c r="B25" s="223"/>
      <c r="C25" s="90">
        <v>0.16666666666666666</v>
      </c>
      <c r="D25" s="91"/>
      <c r="E25" s="91"/>
      <c r="F25" s="92">
        <v>2</v>
      </c>
      <c r="J25" s="80"/>
      <c r="K25" s="74"/>
      <c r="L25" s="74"/>
      <c r="M25" s="74"/>
      <c r="N25" s="74"/>
      <c r="O25" s="74"/>
    </row>
    <row r="26" spans="2:16" x14ac:dyDescent="0.25">
      <c r="B26" s="223"/>
      <c r="C26" s="90">
        <v>0.20833333333333334</v>
      </c>
      <c r="D26" s="91"/>
      <c r="E26" s="91"/>
      <c r="F26" s="92">
        <v>2</v>
      </c>
    </row>
    <row r="27" spans="2:16" x14ac:dyDescent="0.25">
      <c r="B27" s="223"/>
      <c r="C27" s="90">
        <v>0.25</v>
      </c>
      <c r="D27" s="91"/>
      <c r="E27" s="91"/>
      <c r="F27" s="92">
        <v>2</v>
      </c>
    </row>
    <row r="28" spans="2:16" x14ac:dyDescent="0.25">
      <c r="B28" s="224"/>
      <c r="C28" s="93">
        <v>0.29166666666666669</v>
      </c>
      <c r="D28" s="94"/>
      <c r="E28" s="94"/>
      <c r="F28" s="95">
        <v>2</v>
      </c>
    </row>
    <row r="29" spans="2:16" ht="15.75" thickBot="1" x14ac:dyDescent="0.3">
      <c r="B29" s="74"/>
      <c r="C29" s="74"/>
    </row>
    <row r="30" spans="2:16" x14ac:dyDescent="0.25">
      <c r="B30" s="226" t="s">
        <v>81</v>
      </c>
      <c r="C30" s="227"/>
      <c r="D30" s="96">
        <f>SUM(D5:D28)</f>
        <v>18</v>
      </c>
      <c r="E30" s="96">
        <f>SUM(E5:E28)</f>
        <v>26</v>
      </c>
      <c r="F30" s="96">
        <f>SUM(F5:F28)</f>
        <v>22</v>
      </c>
      <c r="G30" s="97">
        <f>SUM(D30:F30)</f>
        <v>66</v>
      </c>
      <c r="P30" s="88"/>
    </row>
    <row r="31" spans="2:16" x14ac:dyDescent="0.25">
      <c r="B31" s="228" t="s">
        <v>82</v>
      </c>
      <c r="C31" s="225"/>
      <c r="D31" s="88">
        <f>D30*5</f>
        <v>90</v>
      </c>
      <c r="E31" s="88">
        <f>E30*2</f>
        <v>52</v>
      </c>
      <c r="F31" s="88">
        <f>F30*7</f>
        <v>154</v>
      </c>
      <c r="G31" s="99">
        <f t="shared" ref="G31:G34" si="0">SUM(D31:F31)</f>
        <v>296</v>
      </c>
      <c r="P31" s="17"/>
    </row>
    <row r="32" spans="2:16" x14ac:dyDescent="0.25">
      <c r="B32" s="228" t="s">
        <v>83</v>
      </c>
      <c r="C32" s="225"/>
      <c r="D32" s="88">
        <f>D31*52</f>
        <v>4680</v>
      </c>
      <c r="E32" s="88">
        <f>E31*52</f>
        <v>2704</v>
      </c>
      <c r="F32" s="88">
        <f>F31*52</f>
        <v>8008</v>
      </c>
      <c r="G32" s="99">
        <f t="shared" si="0"/>
        <v>15392</v>
      </c>
      <c r="P32" s="100"/>
    </row>
    <row r="33" spans="2:17" x14ac:dyDescent="0.25">
      <c r="B33" s="228" t="s">
        <v>84</v>
      </c>
      <c r="C33" s="225"/>
      <c r="D33" s="101">
        <f>D32/12</f>
        <v>390</v>
      </c>
      <c r="E33" s="101">
        <f>E32/12</f>
        <v>225.33333333333334</v>
      </c>
      <c r="F33" s="101">
        <f>F32/12</f>
        <v>667.33333333333337</v>
      </c>
      <c r="G33" s="102">
        <f t="shared" si="0"/>
        <v>1282.6666666666667</v>
      </c>
    </row>
    <row r="34" spans="2:17" ht="15.75" thickBot="1" x14ac:dyDescent="0.3">
      <c r="B34" s="229" t="s">
        <v>85</v>
      </c>
      <c r="C34" s="230"/>
      <c r="D34" s="103">
        <f>D32/2080</f>
        <v>2.25</v>
      </c>
      <c r="E34" s="103">
        <f>E32/2080</f>
        <v>1.3</v>
      </c>
      <c r="F34" s="103">
        <f>F32/2080</f>
        <v>3.85</v>
      </c>
      <c r="G34" s="104">
        <f t="shared" si="0"/>
        <v>7.4</v>
      </c>
    </row>
    <row r="35" spans="2:17" ht="15.75" thickBot="1" x14ac:dyDescent="0.3">
      <c r="B35" s="105"/>
      <c r="D35" s="100"/>
      <c r="E35" s="100"/>
      <c r="F35" s="100"/>
      <c r="G35" s="88"/>
      <c r="I35" s="106"/>
      <c r="P35" s="88"/>
      <c r="Q35" s="100"/>
    </row>
    <row r="36" spans="2:17" x14ac:dyDescent="0.25">
      <c r="B36" s="226" t="s">
        <v>86</v>
      </c>
      <c r="C36" s="227"/>
      <c r="D36" s="227"/>
      <c r="E36" s="227"/>
      <c r="F36" s="231"/>
    </row>
    <row r="37" spans="2:17" x14ac:dyDescent="0.25">
      <c r="B37" s="98" t="s">
        <v>87</v>
      </c>
      <c r="C37" s="107">
        <f>D33</f>
        <v>390</v>
      </c>
      <c r="D37" s="17"/>
      <c r="E37" s="17"/>
      <c r="F37" s="99"/>
    </row>
    <row r="38" spans="2:17" x14ac:dyDescent="0.25">
      <c r="B38" s="98" t="s">
        <v>27</v>
      </c>
      <c r="C38" s="108">
        <f>E33</f>
        <v>225.33333333333334</v>
      </c>
      <c r="D38" s="17"/>
      <c r="E38" s="17"/>
      <c r="F38" s="99"/>
    </row>
    <row r="39" spans="2:17" x14ac:dyDescent="0.25">
      <c r="B39" s="98" t="s">
        <v>88</v>
      </c>
      <c r="C39" s="107">
        <f>D33+E33</f>
        <v>615.33333333333337</v>
      </c>
      <c r="D39" s="88"/>
      <c r="E39" s="88" t="s">
        <v>89</v>
      </c>
      <c r="F39" s="109"/>
    </row>
    <row r="40" spans="2:17" x14ac:dyDescent="0.25">
      <c r="B40" s="110"/>
      <c r="F40" s="111"/>
    </row>
    <row r="41" spans="2:17" x14ac:dyDescent="0.25">
      <c r="B41" s="98" t="s">
        <v>90</v>
      </c>
      <c r="C41" s="107">
        <f>F33</f>
        <v>667.33333333333337</v>
      </c>
      <c r="D41" s="101"/>
      <c r="E41" s="101"/>
      <c r="F41" s="102"/>
    </row>
    <row r="42" spans="2:17" x14ac:dyDescent="0.25">
      <c r="B42" s="110"/>
      <c r="F42" s="99"/>
    </row>
    <row r="43" spans="2:17" ht="15.75" thickBot="1" x14ac:dyDescent="0.3">
      <c r="B43" s="112"/>
      <c r="C43" s="113"/>
      <c r="D43" s="113"/>
      <c r="E43" s="113"/>
      <c r="F43" s="114"/>
    </row>
    <row r="46" spans="2:17" x14ac:dyDescent="0.25">
      <c r="B46" s="225"/>
      <c r="C46" s="225"/>
      <c r="D46" s="225"/>
      <c r="E46" s="225"/>
      <c r="F46" s="225"/>
    </row>
    <row r="47" spans="2:17" x14ac:dyDescent="0.25">
      <c r="C47" s="17" t="s">
        <v>91</v>
      </c>
    </row>
    <row r="48" spans="2:17" x14ac:dyDescent="0.25">
      <c r="B48" t="s">
        <v>14</v>
      </c>
      <c r="C48" s="115">
        <f>'EPS Cost Assumptions'!B16/2080</f>
        <v>5.7692307692307696E-2</v>
      </c>
      <c r="E48" s="16"/>
      <c r="F48" s="16"/>
    </row>
    <row r="49" spans="2:6" x14ac:dyDescent="0.25">
      <c r="B49" t="s">
        <v>15</v>
      </c>
      <c r="C49" s="115">
        <f>'EPS Cost Assumptions'!B17/2080</f>
        <v>4.230769230769231E-2</v>
      </c>
      <c r="E49" s="16"/>
      <c r="F49" s="16"/>
    </row>
    <row r="50" spans="2:6" x14ac:dyDescent="0.25">
      <c r="B50" t="s">
        <v>16</v>
      </c>
      <c r="C50" s="115">
        <f>'EPS Cost Assumptions'!B18/2080</f>
        <v>1.9230769230769232E-2</v>
      </c>
      <c r="E50" s="16"/>
      <c r="F50" s="16"/>
    </row>
    <row r="52" spans="2:6" x14ac:dyDescent="0.25">
      <c r="E52" s="116"/>
    </row>
  </sheetData>
  <mergeCells count="13">
    <mergeCell ref="B1:F1"/>
    <mergeCell ref="B4:C4"/>
    <mergeCell ref="B5:B8"/>
    <mergeCell ref="B9:B17"/>
    <mergeCell ref="P14:S14"/>
    <mergeCell ref="B18:B28"/>
    <mergeCell ref="B46:F46"/>
    <mergeCell ref="B30:C30"/>
    <mergeCell ref="B31:C31"/>
    <mergeCell ref="B32:C32"/>
    <mergeCell ref="B33:C33"/>
    <mergeCell ref="B34:C34"/>
    <mergeCell ref="B36:F3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87CA-01AF-45FF-B7F3-4E9A306CC863}">
  <dimension ref="D4:E5"/>
  <sheetViews>
    <sheetView workbookViewId="0">
      <selection activeCell="E6" sqref="E6"/>
    </sheetView>
  </sheetViews>
  <sheetFormatPr defaultRowHeight="15" x14ac:dyDescent="0.25"/>
  <cols>
    <col min="4" max="4" width="9.42578125" bestFit="1" customWidth="1"/>
  </cols>
  <sheetData>
    <row r="4" spans="4:5" x14ac:dyDescent="0.25">
      <c r="D4" s="207">
        <v>45597</v>
      </c>
    </row>
    <row r="5" spans="4:5" x14ac:dyDescent="0.25">
      <c r="E5"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Fee Table</vt:lpstr>
      <vt:lpstr>Fair Wages</vt:lpstr>
      <vt:lpstr>EPS Cost Assumptions</vt:lpstr>
      <vt:lpstr>Summary</vt:lpstr>
      <vt:lpstr>Directcare Schedule</vt:lpstr>
      <vt:lpstr>Updates</vt:lpstr>
      <vt:lpstr>Beds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Tim (DCYF)</dc:creator>
  <cp:lastModifiedBy>Dolgash, Debbie (DCYF)</cp:lastModifiedBy>
  <dcterms:created xsi:type="dcterms:W3CDTF">2024-04-09T17:39:20Z</dcterms:created>
  <dcterms:modified xsi:type="dcterms:W3CDTF">2024-11-15T18:57:20Z</dcterms:modified>
</cp:coreProperties>
</file>