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william_nownes_dcyf_wa_gov/Documents/Desktop/"/>
    </mc:Choice>
  </mc:AlternateContent>
  <xr:revisionPtr revIDLastSave="0" documentId="8_{5301C555-63C4-4D96-9739-202451EE48C5}" xr6:coauthVersionLast="47" xr6:coauthVersionMax="47" xr10:uidLastSave="{00000000-0000-0000-0000-000000000000}"/>
  <bookViews>
    <workbookView xWindow="-120" yWindow="-120" windowWidth="29040" windowHeight="15840" xr2:uid="{B506AA13-31FF-4D9B-91E2-C7E51FA3F24C}"/>
  </bookViews>
  <sheets>
    <sheet name="Billing Form" sheetId="5" r:id="rId1"/>
    <sheet name="Fee Table" sheetId="6" state="hidden" r:id="rId2"/>
    <sheet name="72 hour" sheetId="1" state="hidden" r:id="rId3"/>
  </sheets>
  <definedNames>
    <definedName name="_xlnm.Print_Area" localSheetId="0">'Billing Form'!$A$1:$M$70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6" l="1"/>
  <c r="P73" i="6"/>
  <c r="N73" i="6"/>
  <c r="M73" i="6"/>
  <c r="L73" i="6"/>
  <c r="K73" i="6"/>
  <c r="O73" i="6" s="1"/>
  <c r="J73" i="6"/>
  <c r="I73" i="6"/>
  <c r="H73" i="6"/>
  <c r="G73" i="6"/>
  <c r="F73" i="6"/>
  <c r="E73" i="6"/>
  <c r="D73" i="6"/>
  <c r="C73" i="6"/>
  <c r="Q72" i="6"/>
  <c r="O72" i="6"/>
  <c r="O71" i="6"/>
  <c r="Q71" i="6" s="1"/>
  <c r="O70" i="6"/>
  <c r="Q70" i="6" s="1"/>
  <c r="O69" i="6"/>
  <c r="Q69" i="6" s="1"/>
  <c r="O68" i="6"/>
  <c r="Q68" i="6" s="1"/>
  <c r="O67" i="6"/>
  <c r="Q67" i="6" s="1"/>
  <c r="C58" i="6"/>
  <c r="D52" i="6"/>
  <c r="D51" i="6"/>
  <c r="F46" i="6"/>
  <c r="L39" i="6"/>
  <c r="M39" i="6" s="1"/>
  <c r="N39" i="6" s="1"/>
  <c r="E35" i="6"/>
  <c r="E36" i="6" s="1"/>
  <c r="E37" i="6" s="1"/>
  <c r="M34" i="6"/>
  <c r="L34" i="6"/>
  <c r="K34" i="6"/>
  <c r="C33" i="6"/>
  <c r="D32" i="6"/>
  <c r="C32" i="6"/>
  <c r="C57" i="6" s="1"/>
  <c r="G46" i="6" s="1"/>
  <c r="H46" i="6" s="1"/>
  <c r="C31" i="6"/>
  <c r="D19" i="6"/>
  <c r="D18" i="6"/>
  <c r="D31" i="6" s="1"/>
  <c r="Q73" i="6" l="1"/>
  <c r="E31" i="6"/>
  <c r="D33" i="6"/>
  <c r="E32" i="6"/>
  <c r="F32" i="6" s="1"/>
  <c r="E33" i="6" l="1"/>
  <c r="F33" i="6" s="1"/>
  <c r="G33" i="6"/>
  <c r="K27" i="6"/>
  <c r="F31" i="6"/>
  <c r="G31" i="6" s="1"/>
  <c r="G32" i="6"/>
  <c r="H32" i="6" l="1"/>
  <c r="I32" i="6"/>
  <c r="H31" i="6"/>
  <c r="I31" i="6" s="1"/>
  <c r="H33" i="6"/>
  <c r="I33" i="6" s="1"/>
  <c r="I24" i="5" l="1"/>
  <c r="E24" i="5"/>
  <c r="E16" i="5" l="1"/>
  <c r="G30" i="5"/>
  <c r="K30" i="5"/>
  <c r="G23" i="5"/>
  <c r="E26" i="5"/>
  <c r="I26" i="5"/>
  <c r="E18" i="5"/>
  <c r="G36" i="5" s="1"/>
  <c r="I28" i="5" l="1"/>
  <c r="K28" i="5" s="1"/>
  <c r="E28" i="5"/>
  <c r="G28" i="5" s="1"/>
  <c r="K32" i="5"/>
  <c r="K34" i="5"/>
  <c r="K36" i="5"/>
  <c r="G32" i="5"/>
  <c r="G34" i="5"/>
  <c r="K23" i="5"/>
  <c r="K40" i="5" l="1"/>
  <c r="G40" i="5"/>
</calcChain>
</file>

<file path=xl/sharedStrings.xml><?xml version="1.0" encoding="utf-8"?>
<sst xmlns="http://schemas.openxmlformats.org/spreadsheetml/2006/main" count="187" uniqueCount="173">
  <si>
    <t>Region</t>
  </si>
  <si>
    <t>Total Admin Rate</t>
  </si>
  <si>
    <t>WASHINGTON STATE DEPARTMENT OF CHILDREN, YOUTH, AND FAMILIES</t>
  </si>
  <si>
    <t>DCYF EMERGENT INITIAL FAMILY TIME</t>
  </si>
  <si>
    <t>72 HOUR VISIT SERVICE COORDINATION BILLING FORM</t>
  </si>
  <si>
    <r>
      <rPr>
        <b/>
        <i/>
        <sz val="10"/>
        <color rgb="FFC00000"/>
        <rFont val="Calibri"/>
        <family val="2"/>
        <scheme val="minor"/>
      </rPr>
      <t xml:space="preserve">NOTE: </t>
    </r>
    <r>
      <rPr>
        <i/>
        <sz val="10"/>
        <color rgb="FFC00000"/>
        <rFont val="Calibri"/>
        <family val="2"/>
        <scheme val="minor"/>
      </rPr>
      <t>Submit 72 hour Sprout pdf invoice with billing form for backup</t>
    </r>
  </si>
  <si>
    <t>Invoice Date:</t>
  </si>
  <si>
    <t>Month of Service:</t>
  </si>
  <si>
    <t>Year:</t>
  </si>
  <si>
    <t>Provider Name:</t>
  </si>
  <si>
    <t>FamLink Provider #:</t>
  </si>
  <si>
    <t>Contract #:</t>
  </si>
  <si>
    <t>New Fee Schedule</t>
  </si>
  <si>
    <t>[Select Region]</t>
  </si>
  <si>
    <t>Visit Rate</t>
  </si>
  <si>
    <t>Eligible Mileage:</t>
  </si>
  <si>
    <t>Attended Visits:</t>
  </si>
  <si>
    <t>No Show Visits:</t>
  </si>
  <si>
    <t>Missed with Less than 24 hrs:</t>
  </si>
  <si>
    <t>Missed with More than 24 hrs:</t>
  </si>
  <si>
    <t>Unpaid</t>
  </si>
  <si>
    <t>Comments</t>
  </si>
  <si>
    <t>Provider's Certificate</t>
  </si>
  <si>
    <t>I hereby certify under penalty of perjury that the invoice above are correct and are proper charges for services furnished to the State of Washington DCYF.</t>
  </si>
  <si>
    <t>Provider's Authorized Signature/Name</t>
  </si>
  <si>
    <t>Date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</si>
  <si>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</si>
  <si>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</si>
  <si>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</si>
  <si>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</si>
  <si>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Emergent Initial Family Time Visit</t>
  </si>
  <si>
    <t xml:space="preserve">Fee Schedule  </t>
  </si>
  <si>
    <t>Effective July 1, 2023</t>
  </si>
  <si>
    <t>[Select Month]</t>
  </si>
  <si>
    <t>[Select Year]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</si>
  <si>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</si>
  <si>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</si>
  <si>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</si>
  <si>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</si>
  <si>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</si>
  <si>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</si>
  <si>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</si>
  <si>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</si>
  <si>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</si>
  <si>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</si>
  <si>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</si>
  <si>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</si>
  <si>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Regions 1 and 2</t>
  </si>
  <si>
    <t>Region 1</t>
  </si>
  <si>
    <t>Region 2</t>
  </si>
  <si>
    <t>Service Coordination Actuals:</t>
  </si>
  <si>
    <t>Percentage:</t>
  </si>
  <si>
    <t>Service Coordination Fee:</t>
  </si>
  <si>
    <t>Total Invoiced</t>
  </si>
  <si>
    <t>Total Billed:</t>
  </si>
  <si>
    <t>Late Approval</t>
  </si>
  <si>
    <t xml:space="preserve">Future Potential Payments </t>
  </si>
  <si>
    <t>Payment Type</t>
  </si>
  <si>
    <t>Payment Context</t>
  </si>
  <si>
    <t>measure</t>
  </si>
  <si>
    <t xml:space="preserve">Service Coordination </t>
  </si>
  <si>
    <t xml:space="preserve">Fixed Monthly payments, based on estimated referred cases </t>
  </si>
  <si>
    <t>Staff</t>
  </si>
  <si>
    <t>monthly</t>
  </si>
  <si>
    <t>contimplate</t>
  </si>
  <si>
    <t>Scheduled Visits</t>
  </si>
  <si>
    <t xml:space="preserve">Based on Number of visits scheduled </t>
  </si>
  <si>
    <t>Sprout recorded Attended, no-show, &amp; cancelled less than reports.</t>
  </si>
  <si>
    <t># of times visit rate</t>
  </si>
  <si>
    <t xml:space="preserve">Facility cost
one day service delivery request from DCYF office (multiple providers)
</t>
  </si>
  <si>
    <t xml:space="preserve">Miles </t>
  </si>
  <si>
    <r>
      <rPr>
        <sz val="11"/>
        <color rgb="FFFF0000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Miles Dirven</t>
    </r>
  </si>
  <si>
    <t>Sprout recorded miles</t>
  </si>
  <si>
    <t>recorded miles</t>
  </si>
  <si>
    <t>no</t>
  </si>
  <si>
    <t>less</t>
  </si>
  <si>
    <t>more</t>
  </si>
  <si>
    <t>72 Hours Fee Table</t>
  </si>
  <si>
    <t>Service Delivery Support</t>
  </si>
  <si>
    <t>Monitoring</t>
  </si>
  <si>
    <t>Intake - as funded by FT cost study</t>
  </si>
  <si>
    <t xml:space="preserve">Modifier </t>
  </si>
  <si>
    <t>Minutes</t>
  </si>
  <si>
    <t>7 days a week</t>
  </si>
  <si>
    <t>Authorization/assignment</t>
  </si>
  <si>
    <t>Monitoring for New - Monthly</t>
  </si>
  <si>
    <t>6 times a day</t>
  </si>
  <si>
    <t>Caregiver &amp; safety/ well-being</t>
  </si>
  <si>
    <t>Intake and Screening per referral</t>
  </si>
  <si>
    <t xml:space="preserve">10 minutes </t>
  </si>
  <si>
    <t>Confirm first visit</t>
  </si>
  <si>
    <t>document intake</t>
  </si>
  <si>
    <t>TO DO</t>
  </si>
  <si>
    <t>Information review</t>
  </si>
  <si>
    <t>Increase scheduling time</t>
  </si>
  <si>
    <t xml:space="preserve">Federal </t>
  </si>
  <si>
    <t>Intake Report</t>
  </si>
  <si>
    <t xml:space="preserve">parking </t>
  </si>
  <si>
    <t>Payroll Taxes</t>
  </si>
  <si>
    <t>Meeting coordination</t>
  </si>
  <si>
    <t>ensure consistency between two fee tables</t>
  </si>
  <si>
    <t>Washington B&amp;O Tax</t>
  </si>
  <si>
    <t>notify for visit schedule</t>
  </si>
  <si>
    <t>Indirect</t>
  </si>
  <si>
    <t>Parent review of rules/policy</t>
  </si>
  <si>
    <t>Scheduling of visits</t>
  </si>
  <si>
    <t>PTO &amp; holiday - hrs yearly per FTE</t>
  </si>
  <si>
    <t>Current Average</t>
  </si>
  <si>
    <t>Monthly VSW/Admin hours + PTO</t>
  </si>
  <si>
    <t>Monthly Supervisor Hours +PTO</t>
  </si>
  <si>
    <t>Program Manager hours + PTO</t>
  </si>
  <si>
    <t>Monthly Service Coordination</t>
  </si>
  <si>
    <t>Supervision, Indirect, Tax, Fringe</t>
  </si>
  <si>
    <t>Current Rate</t>
  </si>
  <si>
    <t>Updated based on referrals</t>
  </si>
  <si>
    <r>
      <rPr>
        <b/>
        <u/>
        <sz val="11"/>
        <color theme="1"/>
        <rFont val="Calibri"/>
        <family val="2"/>
        <scheme val="minor"/>
      </rPr>
      <t>New proposed</t>
    </r>
    <r>
      <rPr>
        <sz val="11"/>
        <color theme="1"/>
        <rFont val="Calibri"/>
        <family val="2"/>
        <scheme val="minor"/>
      </rPr>
      <t xml:space="preserve"> updated referals and Scheduling time </t>
    </r>
  </si>
  <si>
    <t>1 &amp; 2</t>
  </si>
  <si>
    <t>3 &amp; 4</t>
  </si>
  <si>
    <t>5 &amp; 6</t>
  </si>
  <si>
    <t>Work Type</t>
  </si>
  <si>
    <t>Hourly Rate</t>
  </si>
  <si>
    <t xml:space="preserve">VSW/Clerical </t>
  </si>
  <si>
    <t>Sup</t>
  </si>
  <si>
    <t>PM</t>
  </si>
  <si>
    <t>updated and finalized Nov 2024</t>
  </si>
  <si>
    <t>Monthly Difference</t>
  </si>
  <si>
    <t xml:space="preserve">Yearly difference </t>
  </si>
  <si>
    <t>Finders Fee</t>
  </si>
  <si>
    <t>Proposed April Updated Rate</t>
  </si>
  <si>
    <t>July - Sept data</t>
  </si>
  <si>
    <t xml:space="preserve">Hourly </t>
  </si>
  <si>
    <t>In person</t>
  </si>
  <si>
    <t>Travel Cost</t>
  </si>
  <si>
    <t>Visit Time</t>
  </si>
  <si>
    <t xml:space="preserve">Per visit </t>
  </si>
  <si>
    <t>Virtual</t>
  </si>
  <si>
    <t>Avg Travel Time*</t>
  </si>
  <si>
    <t>Avg Visit*</t>
  </si>
  <si>
    <t>*excluding "0" minute events</t>
  </si>
  <si>
    <t>Travel Costs per visit</t>
  </si>
  <si>
    <t>Hourly Travel</t>
  </si>
  <si>
    <t>Hourly Visit</t>
  </si>
  <si>
    <t>Authorized situations</t>
  </si>
  <si>
    <t>minutes</t>
  </si>
  <si>
    <t xml:space="preserve">Family with more than 3 with one referral </t>
  </si>
  <si>
    <t>wait time</t>
  </si>
  <si>
    <t xml:space="preserve">With the intent to reduce time children or youth site in a car when siblings are placed separately and over 30 miles apart. </t>
  </si>
  <si>
    <t>Visit Report</t>
  </si>
  <si>
    <t>DCYF missed visit staffing</t>
  </si>
  <si>
    <t>UIR</t>
  </si>
  <si>
    <t>Health Screen</t>
  </si>
  <si>
    <t xml:space="preserve">Count of Cases with one or more Visit Referrals 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</si>
  <si>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</si>
  <si>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</si>
  <si>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</si>
  <si>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</si>
  <si>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</si>
  <si>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</si>
  <si>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</si>
  <si>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</si>
  <si>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</si>
  <si>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</si>
  <si>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4 month average Sep-dec 2023</t>
  </si>
  <si>
    <t>one year average Aug 2023-sep 2024</t>
  </si>
  <si>
    <t>R1</t>
  </si>
  <si>
    <t>R2</t>
  </si>
  <si>
    <t>R3</t>
  </si>
  <si>
    <t>R4</t>
  </si>
  <si>
    <t>R5</t>
  </si>
  <si>
    <t>R6</t>
  </si>
  <si>
    <t>State avg</t>
  </si>
  <si>
    <t>Eff 3/1/25 per contract terms</t>
  </si>
  <si>
    <t>FAMLINK BILLING FORM (1/2025)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</si>
</sst>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  <numFmt numFmtId="166" formatCode="_(* #,##0_);_(* \(#,##0\);_(* &quot;-&quot;??_);_(@_)"/>
    <numFmt numFmtId="167" formatCode="&quot;$&quot;#,##0.00"/>
    <numFmt numFmtId="168" formatCode="0.0%"/>
    <numFmt numFmtId="169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44" fontId="9" fillId="4" borderId="0" xfId="2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0" fillId="4" borderId="14" xfId="0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4" fillId="0" borderId="0" xfId="0" applyFont="1" applyAlignment="1">
      <alignment vertical="center" wrapText="1"/>
    </xf>
    <xf numFmtId="43" fontId="14" fillId="0" borderId="0" xfId="1" applyFont="1" applyBorder="1" applyAlignment="1" applyProtection="1">
      <alignment vertical="center"/>
    </xf>
    <xf numFmtId="44" fontId="9" fillId="0" borderId="0" xfId="2" applyFont="1" applyAlignment="1">
      <alignment vertical="center"/>
    </xf>
    <xf numFmtId="43" fontId="14" fillId="0" borderId="0" xfId="1" applyFont="1" applyAlignment="1">
      <alignment vertical="center"/>
    </xf>
    <xf numFmtId="44" fontId="12" fillId="0" borderId="4" xfId="2" applyFont="1" applyFill="1" applyBorder="1" applyAlignment="1" applyProtection="1">
      <alignment vertical="center"/>
      <protection locked="0"/>
    </xf>
    <xf numFmtId="166" fontId="12" fillId="0" borderId="4" xfId="1" applyNumberFormat="1" applyFont="1" applyFill="1" applyBorder="1" applyAlignment="1" applyProtection="1">
      <alignment vertical="center"/>
      <protection locked="0"/>
    </xf>
    <xf numFmtId="44" fontId="17" fillId="0" borderId="0" xfId="0" applyNumberFormat="1" applyFont="1" applyAlignment="1">
      <alignment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14" fillId="0" borderId="0" xfId="0" applyFont="1" applyAlignment="1" applyProtection="1">
      <alignment vertical="top"/>
      <protection locked="0"/>
    </xf>
    <xf numFmtId="0" fontId="0" fillId="0" borderId="8" xfId="0" applyBorder="1" applyAlignment="1">
      <alignment vertical="center"/>
    </xf>
    <xf numFmtId="0" fontId="18" fillId="6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9" fillId="6" borderId="0" xfId="0" applyFont="1" applyFill="1" applyAlignment="1">
      <alignment vertical="center"/>
    </xf>
    <xf numFmtId="0" fontId="0" fillId="0" borderId="13" xfId="0" applyBorder="1" applyAlignment="1">
      <alignment vertical="center"/>
    </xf>
    <xf numFmtId="0" fontId="20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vertical="center"/>
    </xf>
    <xf numFmtId="0" fontId="0" fillId="0" borderId="14" xfId="0" applyBorder="1" applyAlignment="1">
      <alignment vertical="center"/>
    </xf>
    <xf numFmtId="0" fontId="22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165" fontId="9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6" borderId="8" xfId="0" applyFill="1" applyBorder="1" applyAlignment="1">
      <alignment vertical="center"/>
    </xf>
    <xf numFmtId="0" fontId="18" fillId="6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6" borderId="11" xfId="0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6" borderId="0" xfId="0" applyFont="1" applyFill="1" applyAlignment="1" applyProtection="1">
      <alignment vertical="center" wrapText="1"/>
      <protection locked="0"/>
    </xf>
    <xf numFmtId="0" fontId="20" fillId="6" borderId="13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6" borderId="0" xfId="0" applyFont="1" applyFill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6" borderId="14" xfId="0" applyFill="1" applyBorder="1" applyAlignment="1">
      <alignment vertical="center"/>
    </xf>
    <xf numFmtId="0" fontId="22" fillId="6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3" fontId="9" fillId="0" borderId="0" xfId="1" applyFont="1" applyBorder="1" applyAlignment="1" applyProtection="1">
      <alignment vertical="center"/>
    </xf>
    <xf numFmtId="43" fontId="9" fillId="0" borderId="0" xfId="1" applyFont="1" applyAlignment="1">
      <alignment vertical="center"/>
    </xf>
    <xf numFmtId="44" fontId="13" fillId="0" borderId="4" xfId="2" applyFont="1" applyFill="1" applyBorder="1" applyAlignment="1" applyProtection="1">
      <alignment vertical="center"/>
      <protection locked="0"/>
    </xf>
    <xf numFmtId="166" fontId="13" fillId="0" borderId="4" xfId="1" applyNumberFormat="1" applyFont="1" applyFill="1" applyBorder="1" applyAlignment="1" applyProtection="1">
      <alignment vertical="center"/>
      <protection locked="0"/>
    </xf>
    <xf numFmtId="44" fontId="9" fillId="0" borderId="0" xfId="2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vertical="center"/>
      <protection locked="0"/>
    </xf>
    <xf numFmtId="166" fontId="13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65" fontId="12" fillId="0" borderId="0" xfId="0" applyNumberFormat="1" applyFont="1" applyAlignment="1" applyProtection="1">
      <alignment horizontal="center" vertical="center"/>
      <protection locked="0"/>
    </xf>
    <xf numFmtId="44" fontId="12" fillId="0" borderId="0" xfId="2" applyFont="1" applyFill="1" applyBorder="1" applyAlignment="1" applyProtection="1">
      <alignment vertical="center"/>
      <protection locked="0"/>
    </xf>
    <xf numFmtId="166" fontId="1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167" fontId="3" fillId="3" borderId="3" xfId="0" applyNumberFormat="1" applyFont="1" applyFill="1" applyBorder="1" applyAlignment="1">
      <alignment horizontal="center"/>
    </xf>
    <xf numFmtId="8" fontId="23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left" wrapText="1"/>
    </xf>
    <xf numFmtId="0" fontId="0" fillId="8" borderId="0" xfId="0" applyFill="1"/>
    <xf numFmtId="0" fontId="0" fillId="0" borderId="19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6" fillId="0" borderId="20" xfId="0" applyFont="1" applyBorder="1"/>
    <xf numFmtId="0" fontId="0" fillId="0" borderId="21" xfId="0" applyBorder="1"/>
    <xf numFmtId="0" fontId="27" fillId="0" borderId="22" xfId="0" applyFont="1" applyBorder="1"/>
    <xf numFmtId="0" fontId="0" fillId="0" borderId="22" xfId="0" applyBorder="1"/>
    <xf numFmtId="0" fontId="27" fillId="0" borderId="23" xfId="0" applyFont="1" applyBorder="1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9" fontId="1" fillId="0" borderId="24" xfId="5" applyFont="1" applyFill="1" applyBorder="1" applyProtection="1"/>
    <xf numFmtId="168" fontId="1" fillId="0" borderId="24" xfId="5" applyNumberFormat="1" applyFont="1" applyFill="1" applyBorder="1" applyProtection="1"/>
    <xf numFmtId="9" fontId="0" fillId="0" borderId="0" xfId="0" applyNumberFormat="1"/>
    <xf numFmtId="0" fontId="0" fillId="0" borderId="0" xfId="0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0" xfId="0" applyNumberFormat="1"/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164" fontId="2" fillId="0" borderId="0" xfId="0" applyNumberFormat="1" applyFont="1"/>
    <xf numFmtId="167" fontId="0" fillId="0" borderId="3" xfId="0" applyNumberFormat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1" xfId="0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0" fontId="28" fillId="0" borderId="32" xfId="0" applyFont="1" applyBorder="1" applyAlignment="1">
      <alignment wrapText="1"/>
    </xf>
    <xf numFmtId="0" fontId="15" fillId="0" borderId="0" xfId="0" applyFont="1"/>
    <xf numFmtId="167" fontId="0" fillId="0" borderId="0" xfId="0" applyNumberFormat="1"/>
    <xf numFmtId="0" fontId="0" fillId="0" borderId="23" xfId="0" applyBorder="1"/>
    <xf numFmtId="167" fontId="2" fillId="0" borderId="0" xfId="0" applyNumberFormat="1" applyFont="1" applyAlignment="1">
      <alignment horizontal="center"/>
    </xf>
    <xf numFmtId="0" fontId="0" fillId="9" borderId="33" xfId="0" applyFill="1" applyBorder="1"/>
    <xf numFmtId="168" fontId="0" fillId="9" borderId="34" xfId="0" applyNumberFormat="1" applyFill="1" applyBorder="1"/>
    <xf numFmtId="0" fontId="30" fillId="0" borderId="1" xfId="0" applyFont="1" applyBorder="1" applyAlignment="1">
      <alignment horizontal="center" wrapText="1"/>
    </xf>
    <xf numFmtId="0" fontId="30" fillId="1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30" fillId="0" borderId="32" xfId="0" applyNumberFormat="1" applyFont="1" applyBorder="1" applyAlignment="1">
      <alignment horizontal="center"/>
    </xf>
    <xf numFmtId="167" fontId="0" fillId="3" borderId="0" xfId="0" applyNumberFormat="1" applyFill="1" applyAlignment="1">
      <alignment horizontal="center"/>
    </xf>
    <xf numFmtId="167" fontId="0" fillId="0" borderId="3" xfId="0" applyNumberFormat="1" applyBorder="1"/>
    <xf numFmtId="0" fontId="30" fillId="0" borderId="1" xfId="0" applyFont="1" applyBorder="1"/>
    <xf numFmtId="0" fontId="30" fillId="0" borderId="0" xfId="0" applyFont="1"/>
    <xf numFmtId="0" fontId="5" fillId="0" borderId="1" xfId="0" applyFont="1" applyBorder="1"/>
    <xf numFmtId="167" fontId="0" fillId="0" borderId="0" xfId="0" applyNumberFormat="1" applyAlignment="1">
      <alignment horizontal="center"/>
    </xf>
    <xf numFmtId="0" fontId="27" fillId="0" borderId="0" xfId="0" applyFont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30" xfId="0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2" fontId="0" fillId="0" borderId="0" xfId="0" applyNumberFormat="1"/>
    <xf numFmtId="164" fontId="0" fillId="0" borderId="3" xfId="0" applyNumberFormat="1" applyBorder="1"/>
    <xf numFmtId="38" fontId="8" fillId="0" borderId="30" xfId="0" applyNumberFormat="1" applyFont="1" applyBorder="1" applyAlignment="1">
      <alignment horizontal="center"/>
    </xf>
    <xf numFmtId="0" fontId="0" fillId="0" borderId="31" xfId="0" applyBorder="1"/>
    <xf numFmtId="0" fontId="0" fillId="0" borderId="20" xfId="0" applyBorder="1"/>
    <xf numFmtId="2" fontId="0" fillId="0" borderId="20" xfId="0" applyNumberFormat="1" applyBorder="1"/>
    <xf numFmtId="164" fontId="2" fillId="0" borderId="32" xfId="0" applyNumberFormat="1" applyFont="1" applyBorder="1"/>
    <xf numFmtId="16" fontId="2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7" xfId="0" applyBorder="1" applyAlignment="1">
      <alignment horizontal="center"/>
    </xf>
    <xf numFmtId="9" fontId="0" fillId="0" borderId="0" xfId="5" applyFont="1" applyProtection="1"/>
    <xf numFmtId="0" fontId="0" fillId="0" borderId="32" xfId="0" applyBorder="1"/>
    <xf numFmtId="0" fontId="2" fillId="0" borderId="38" xfId="0" applyFont="1" applyBorder="1" applyAlignment="1">
      <alignment horizontal="center"/>
    </xf>
    <xf numFmtId="9" fontId="2" fillId="0" borderId="0" xfId="5" applyFont="1" applyProtection="1"/>
    <xf numFmtId="6" fontId="0" fillId="0" borderId="0" xfId="0" applyNumberFormat="1"/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4" borderId="9" xfId="3" applyFill="1" applyBorder="1" applyAlignment="1">
      <alignment horizontal="center" vertical="center" wrapText="1"/>
    </xf>
    <xf numFmtId="0" fontId="4" fillId="4" borderId="10" xfId="3" applyFill="1" applyBorder="1" applyAlignment="1">
      <alignment horizontal="center" vertical="center" wrapText="1"/>
    </xf>
    <xf numFmtId="0" fontId="4" fillId="4" borderId="0" xfId="3" applyFill="1" applyBorder="1" applyAlignment="1">
      <alignment horizontal="center" vertical="center" wrapText="1"/>
    </xf>
    <xf numFmtId="0" fontId="4" fillId="4" borderId="13" xfId="3" applyFill="1" applyBorder="1" applyAlignment="1">
      <alignment horizontal="center" vertical="center" wrapText="1"/>
    </xf>
    <xf numFmtId="0" fontId="4" fillId="4" borderId="15" xfId="3" applyFill="1" applyBorder="1" applyAlignment="1">
      <alignment horizontal="center" vertical="center" wrapText="1"/>
    </xf>
    <xf numFmtId="0" fontId="4" fillId="4" borderId="16" xfId="3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 wrapText="1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165" fontId="21" fillId="6" borderId="0" xfId="0" applyNumberFormat="1" applyFont="1" applyFill="1" applyAlignment="1" applyProtection="1">
      <alignment horizontal="center" vertical="center"/>
      <protection locked="0"/>
    </xf>
    <xf numFmtId="165" fontId="21" fillId="6" borderId="13" xfId="0" applyNumberFormat="1" applyFont="1" applyFill="1" applyBorder="1" applyAlignment="1" applyProtection="1">
      <alignment horizontal="center" vertical="center"/>
      <protection locked="0"/>
    </xf>
    <xf numFmtId="165" fontId="21" fillId="6" borderId="17" xfId="0" applyNumberFormat="1" applyFont="1" applyFill="1" applyBorder="1" applyAlignment="1" applyProtection="1">
      <alignment horizontal="center" vertical="center"/>
      <protection locked="0"/>
    </xf>
    <xf numFmtId="165" fontId="21" fillId="6" borderId="18" xfId="0" applyNumberFormat="1" applyFont="1" applyFill="1" applyBorder="1" applyAlignment="1" applyProtection="1">
      <alignment horizontal="center" vertical="center"/>
      <protection locked="0"/>
    </xf>
    <xf numFmtId="44" fontId="9" fillId="0" borderId="0" xfId="2" applyFont="1" applyAlignment="1">
      <alignment horizontal="center" vertical="center"/>
    </xf>
    <xf numFmtId="44" fontId="9" fillId="0" borderId="0" xfId="2" applyFont="1" applyAlignment="1">
      <alignment horizontal="right" vertical="center"/>
    </xf>
    <xf numFmtId="44" fontId="17" fillId="0" borderId="0" xfId="0" applyNumberFormat="1" applyFont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3" xfId="0" applyFont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3" xfId="4" xr:uid="{3FA97CFF-9E8B-44E0-8F39-51E36D96A82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72 hr referrals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'Fee Table'!$C$140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Table'!$D$143:$T$143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0-4966-B98F-C0C923B4EEAA}"/>
            </c:ext>
          </c:extLst>
        </c:ser>
        <c:ser>
          <c:idx val="1"/>
          <c:order val="1"/>
          <c:tx>
            <c:strRef>
              <c:f>'Fee Table'!$C$141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Table'!$D$144:$T$144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0-4966-B98F-C0C923B4EEAA}"/>
            </c:ext>
          </c:extLst>
        </c:ser>
        <c:ser>
          <c:idx val="2"/>
          <c:order val="2"/>
          <c:tx>
            <c:strRef>
              <c:f>'Fee Table'!$C$142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Table'!$D$145:$T$145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0-4966-B98F-C0C923B4EEAA}"/>
            </c:ext>
          </c:extLst>
        </c:ser>
        <c:ser>
          <c:idx val="3"/>
          <c:order val="3"/>
          <c:tx>
            <c:strRef>
              <c:f>'Fee Table'!$C$143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Table'!$D$146:$T$146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00-4966-B98F-C0C923B4EEAA}"/>
            </c:ext>
          </c:extLst>
        </c:ser>
        <c:ser>
          <c:idx val="4"/>
          <c:order val="4"/>
          <c:tx>
            <c:strRef>
              <c:f>'Fee Table'!$C$144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Table'!$D$147:$T$147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00-4966-B98F-C0C923B4EEAA}"/>
            </c:ext>
          </c:extLst>
        </c:ser>
        <c:ser>
          <c:idx val="5"/>
          <c:order val="5"/>
          <c:tx>
            <c:strRef>
              <c:f>'Fee Table'!$C$145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'Fee Table'!$D$142:$T$142</c:f>
              <c:numCache>
                <c:formatCode>General</c:formatCode>
                <c:ptCount val="10"/>
              </c:numCache>
            </c:numRef>
          </c:cat>
          <c:val>
            <c:numRef>
              <c:f>'Fee Table'!$D$148:$T$148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0-4966-B98F-C0C923B4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995168"/>
        <c:axId val="742995568"/>
      </c:lineChart>
      <c:catAx>
        <c:axId val="19739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995568"/>
        <c:crosses val="autoZero"/>
        <c:auto val="1"/>
        <c:lblAlgn val="ctr"/>
        <c:lblOffset val="100"/>
        <c:noMultiLvlLbl val="0"/>
      </c:catAx>
      <c:valAx>
        <c:axId val="7429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99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167</xdr:row>
      <xdr:rowOff>9525</xdr:rowOff>
    </xdr:from>
    <xdr:to>
      <xdr:col>7</xdr:col>
      <xdr:colOff>1390650</xdr:colOff>
      <xdr:row>190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E1F24E-64B4-4B6E-9822-02D1FEC3B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CA0F5-9EA3-4850-8250-6B515D909C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_emergentF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A91C-E085-4029-9D16-C47317EE598B}">
  <sheetPr>
    <pageSetUpPr fitToPage="1"/>
  </sheetPr>
  <dimension ref="B1:P69"/>
  <sheetViews>
    <sheetView showGridLines="0" tabSelected="1" zoomScale="145" zoomScaleNormal="145" workbookViewId="0">
      <selection activeCell="L11" sqref="L11"/>
    </sheetView>
  </sheetViews>
  <sheetFormatPr defaultColWidth="8.7109375" defaultRowHeight="15" x14ac:dyDescent="0.25"/>
  <cols>
    <col min="1" max="1" width="3.42578125" style="4" customWidth="1"/>
    <col min="2" max="2" width="3.28515625" style="4" customWidth="1"/>
    <col min="3" max="3" width="25.140625" style="4" customWidth="1"/>
    <col min="4" max="4" width="2.28515625" style="4" customWidth="1"/>
    <col min="5" max="5" width="14.7109375" style="4" customWidth="1"/>
    <col min="6" max="6" width="2.140625" style="4" customWidth="1"/>
    <col min="7" max="7" width="15.5703125" style="4" customWidth="1"/>
    <col min="8" max="8" width="2.140625" style="4" customWidth="1"/>
    <col min="9" max="9" width="14.7109375" style="4" customWidth="1"/>
    <col min="10" max="10" width="2.140625" style="4" customWidth="1"/>
    <col min="11" max="11" width="8.7109375" style="4"/>
    <col min="12" max="12" width="11" style="4" bestFit="1" customWidth="1"/>
    <col min="13" max="13" width="3.28515625" style="4" customWidth="1"/>
    <col min="14" max="14" width="11.7109375" style="4" bestFit="1" customWidth="1"/>
    <col min="15" max="15" width="8.7109375" style="4"/>
    <col min="16" max="16" width="11.7109375" style="4" bestFit="1" customWidth="1"/>
    <col min="17" max="16384" width="8.7109375" style="4"/>
  </cols>
  <sheetData>
    <row r="1" spans="2:15" x14ac:dyDescent="0.25">
      <c r="C1" s="191" t="s">
        <v>2</v>
      </c>
      <c r="D1" s="191"/>
      <c r="E1" s="191"/>
      <c r="F1" s="191"/>
      <c r="G1" s="191"/>
      <c r="H1" s="191"/>
      <c r="I1" s="191"/>
      <c r="J1" s="191"/>
      <c r="K1" s="191"/>
      <c r="L1" s="5"/>
      <c r="M1" s="5"/>
      <c r="N1" s="5"/>
      <c r="O1" s="5"/>
    </row>
    <row r="2" spans="2:15" ht="18.75" x14ac:dyDescent="0.25">
      <c r="C2" s="192" t="s">
        <v>3</v>
      </c>
      <c r="D2" s="192"/>
      <c r="E2" s="192"/>
      <c r="F2" s="192"/>
      <c r="G2" s="192"/>
      <c r="H2" s="192"/>
      <c r="I2" s="192"/>
      <c r="J2" s="192"/>
      <c r="K2" s="192"/>
    </row>
    <row r="3" spans="2:15" ht="3.6" customHeight="1" x14ac:dyDescent="0.25">
      <c r="C3" s="193"/>
      <c r="D3" s="193"/>
      <c r="E3" s="193"/>
      <c r="F3" s="193"/>
      <c r="G3" s="193"/>
      <c r="H3" s="193"/>
      <c r="I3" s="193"/>
      <c r="J3" s="76"/>
      <c r="K3" s="6"/>
    </row>
    <row r="4" spans="2:15" x14ac:dyDescent="0.25">
      <c r="D4" s="186"/>
      <c r="F4" s="186" t="s">
        <v>4</v>
      </c>
      <c r="G4" s="186"/>
      <c r="H4" s="186"/>
      <c r="I4" s="186"/>
      <c r="J4" s="186"/>
      <c r="K4" s="186"/>
    </row>
    <row r="5" spans="2:15" x14ac:dyDescent="0.25">
      <c r="D5" s="187"/>
      <c r="F5" s="187" t="s">
        <v>5</v>
      </c>
      <c r="G5" s="187"/>
      <c r="H5" s="187"/>
      <c r="I5" s="187"/>
      <c r="J5" s="187"/>
      <c r="K5" s="187"/>
    </row>
    <row r="6" spans="2:15" ht="15.6" customHeight="1" x14ac:dyDescent="0.25"/>
    <row r="7" spans="2:15" ht="15.6" customHeight="1" x14ac:dyDescent="0.25">
      <c r="C7" s="7" t="s">
        <v>6</v>
      </c>
      <c r="D7" s="8"/>
      <c r="E7" s="9"/>
      <c r="F7" s="92"/>
      <c r="G7" s="92"/>
    </row>
    <row r="8" spans="2:15" ht="10.5" customHeight="1" x14ac:dyDescent="0.25">
      <c r="E8" s="10"/>
      <c r="F8" s="10"/>
      <c r="G8" s="10"/>
    </row>
    <row r="9" spans="2:15" x14ac:dyDescent="0.25">
      <c r="C9" s="7" t="s">
        <v>7</v>
      </c>
      <c r="D9" s="8"/>
      <c r="E9" s="11" t="s">
        <v>33</v>
      </c>
      <c r="F9" s="11"/>
      <c r="G9" s="11"/>
      <c r="H9" s="7" t="s">
        <v>8</v>
      </c>
      <c r="I9" s="12" t="s">
        <v>34</v>
      </c>
      <c r="J9" s="12"/>
    </row>
    <row r="10" spans="2:15" ht="6" customHeight="1" x14ac:dyDescent="0.25">
      <c r="C10" s="13"/>
      <c r="D10" s="14"/>
      <c r="E10" s="15"/>
      <c r="F10" s="15"/>
      <c r="G10" s="15"/>
      <c r="H10" s="15"/>
      <c r="I10" s="15"/>
      <c r="J10" s="15"/>
    </row>
    <row r="11" spans="2:15" x14ac:dyDescent="0.25">
      <c r="C11" s="7" t="s">
        <v>9</v>
      </c>
      <c r="D11" s="8"/>
      <c r="E11" s="188"/>
      <c r="F11" s="189"/>
      <c r="G11" s="189"/>
      <c r="H11" s="189"/>
      <c r="I11" s="190"/>
      <c r="J11" s="87"/>
    </row>
    <row r="12" spans="2:15" ht="6" customHeight="1" x14ac:dyDescent="0.25">
      <c r="C12" s="13"/>
      <c r="D12" s="14"/>
      <c r="E12" s="15"/>
      <c r="F12" s="15"/>
      <c r="G12" s="15"/>
      <c r="H12" s="15"/>
      <c r="I12" s="15"/>
      <c r="J12" s="15"/>
    </row>
    <row r="13" spans="2:15" x14ac:dyDescent="0.25">
      <c r="C13" s="7" t="s">
        <v>10</v>
      </c>
      <c r="D13" s="8"/>
      <c r="E13" s="16"/>
      <c r="F13" s="88"/>
      <c r="G13" s="88"/>
      <c r="H13" s="7" t="s">
        <v>11</v>
      </c>
      <c r="I13" s="16"/>
      <c r="J13" s="88"/>
    </row>
    <row r="15" spans="2:15" ht="5.45" customHeight="1" x14ac:dyDescent="0.25">
      <c r="B15" s="17"/>
      <c r="C15" s="18"/>
      <c r="D15" s="18"/>
      <c r="E15" s="18"/>
      <c r="F15" s="18"/>
      <c r="G15" s="18"/>
      <c r="H15" s="18"/>
      <c r="I15" s="194" t="s">
        <v>171</v>
      </c>
      <c r="J15" s="73"/>
      <c r="K15" s="197" t="s">
        <v>12</v>
      </c>
      <c r="L15" s="198"/>
    </row>
    <row r="16" spans="2:15" ht="15.6" customHeight="1" x14ac:dyDescent="0.25">
      <c r="B16" s="19"/>
      <c r="C16" s="72" t="s">
        <v>47</v>
      </c>
      <c r="D16" s="20"/>
      <c r="E16" s="21">
        <f>VLOOKUP(C16,'72 hour'!D20:E21,2,0)</f>
        <v>10458.52</v>
      </c>
      <c r="F16" s="21"/>
      <c r="G16" s="21"/>
      <c r="H16" s="22"/>
      <c r="I16" s="195"/>
      <c r="J16" s="74"/>
      <c r="K16" s="199"/>
      <c r="L16" s="200"/>
    </row>
    <row r="17" spans="2:16" ht="3.95" customHeight="1" x14ac:dyDescent="0.25">
      <c r="B17" s="19"/>
      <c r="C17" s="23"/>
      <c r="D17" s="20"/>
      <c r="E17" s="24"/>
      <c r="F17" s="24"/>
      <c r="G17" s="24"/>
      <c r="H17" s="25"/>
      <c r="I17" s="195"/>
      <c r="J17" s="74"/>
      <c r="K17" s="199"/>
      <c r="L17" s="200"/>
    </row>
    <row r="18" spans="2:16" ht="15.6" customHeight="1" x14ac:dyDescent="0.25">
      <c r="B18" s="19"/>
      <c r="C18" s="23" t="s">
        <v>14</v>
      </c>
      <c r="D18" s="20"/>
      <c r="E18" s="21">
        <f>'72 hour'!E15</f>
        <v>197.92</v>
      </c>
      <c r="F18" s="21"/>
      <c r="G18" s="21"/>
      <c r="H18" s="25"/>
      <c r="I18" s="195"/>
      <c r="J18" s="74"/>
      <c r="K18" s="199"/>
      <c r="L18" s="200"/>
    </row>
    <row r="19" spans="2:16" ht="7.5" customHeight="1" x14ac:dyDescent="0.25">
      <c r="B19" s="26"/>
      <c r="C19" s="27"/>
      <c r="D19" s="27"/>
      <c r="E19" s="28"/>
      <c r="F19" s="28"/>
      <c r="G19" s="28"/>
      <c r="H19" s="29"/>
      <c r="I19" s="196"/>
      <c r="J19" s="75"/>
      <c r="K19" s="201"/>
      <c r="L19" s="202"/>
    </row>
    <row r="20" spans="2:16" ht="7.5" customHeight="1" x14ac:dyDescent="0.25">
      <c r="C20" s="77"/>
      <c r="D20" s="77"/>
      <c r="E20" s="78"/>
      <c r="F20" s="78"/>
      <c r="G20" s="78"/>
      <c r="I20" s="79"/>
      <c r="J20" s="79"/>
      <c r="K20" s="80"/>
      <c r="L20" s="80"/>
    </row>
    <row r="21" spans="2:16" x14ac:dyDescent="0.25">
      <c r="C21" s="77"/>
      <c r="D21" s="77"/>
      <c r="E21" s="78"/>
      <c r="F21" s="78"/>
      <c r="G21" s="78"/>
      <c r="I21" s="79"/>
      <c r="J21" s="79"/>
      <c r="K21" s="80"/>
      <c r="L21" s="80"/>
    </row>
    <row r="22" spans="2:16" ht="15" customHeight="1" x14ac:dyDescent="0.25">
      <c r="C22" s="77"/>
      <c r="D22" s="77"/>
      <c r="E22" s="91" t="s">
        <v>48</v>
      </c>
      <c r="F22" s="91"/>
      <c r="G22" s="216" t="s">
        <v>53</v>
      </c>
      <c r="H22" s="216"/>
      <c r="I22" s="91" t="s">
        <v>49</v>
      </c>
      <c r="J22" s="78"/>
      <c r="K22" s="216" t="s">
        <v>53</v>
      </c>
      <c r="L22" s="216"/>
    </row>
    <row r="23" spans="2:16" ht="8.25" hidden="1" customHeight="1" x14ac:dyDescent="0.25">
      <c r="C23" s="30"/>
      <c r="D23" s="30"/>
      <c r="G23" s="81" t="str">
        <f>IF(C16="Supplemental Billing","Service Coordination already billed","")</f>
        <v/>
      </c>
      <c r="H23" s="81"/>
      <c r="K23" s="81" t="str">
        <f>IF(C16="Supplemental Billing","Service Coordination already billed","")</f>
        <v/>
      </c>
      <c r="L23" s="81"/>
    </row>
    <row r="24" spans="2:16" ht="17.25" hidden="1" customHeight="1" x14ac:dyDescent="0.25">
      <c r="C24" s="13" t="s">
        <v>50</v>
      </c>
      <c r="D24" s="30"/>
      <c r="E24" s="31">
        <f>SUM(G32,G34,G36)</f>
        <v>0</v>
      </c>
      <c r="F24" s="31"/>
      <c r="G24" s="86"/>
      <c r="H24" s="86"/>
      <c r="I24" s="82">
        <f>SUM(K32,K34,K36)</f>
        <v>0</v>
      </c>
      <c r="J24" s="82"/>
      <c r="K24" s="86"/>
      <c r="L24" s="86"/>
    </row>
    <row r="25" spans="2:16" hidden="1" x14ac:dyDescent="0.25">
      <c r="C25" s="13"/>
      <c r="D25" s="30"/>
      <c r="E25" s="33"/>
      <c r="F25" s="33"/>
      <c r="G25" s="32"/>
      <c r="H25" s="32"/>
      <c r="I25" s="83"/>
      <c r="J25" s="83"/>
      <c r="K25" s="32"/>
      <c r="L25" s="32"/>
    </row>
    <row r="26" spans="2:16" hidden="1" x14ac:dyDescent="0.25">
      <c r="C26" s="13" t="s">
        <v>51</v>
      </c>
      <c r="D26" s="30"/>
      <c r="E26" s="31" t="e">
        <f>(E24/(E24+I24))</f>
        <v>#DIV/0!</v>
      </c>
      <c r="F26" s="31"/>
      <c r="G26" s="86"/>
      <c r="H26" s="86"/>
      <c r="I26" s="82" t="e">
        <f>(I24/(E24+I24))</f>
        <v>#DIV/0!</v>
      </c>
      <c r="J26" s="82"/>
      <c r="K26" s="86"/>
      <c r="L26" s="86"/>
    </row>
    <row r="27" spans="2:16" ht="27.75" hidden="1" customHeight="1" x14ac:dyDescent="0.25">
      <c r="C27" s="13"/>
      <c r="D27" s="30"/>
      <c r="E27" s="33"/>
      <c r="F27" s="33"/>
      <c r="G27" s="32"/>
      <c r="H27" s="32"/>
      <c r="I27" s="83"/>
      <c r="J27" s="83"/>
      <c r="K27" s="32"/>
      <c r="L27" s="32"/>
    </row>
    <row r="28" spans="2:16" ht="17.25" customHeight="1" x14ac:dyDescent="0.25">
      <c r="C28" s="13" t="s">
        <v>52</v>
      </c>
      <c r="D28" s="30"/>
      <c r="E28" s="31">
        <f>IFERROR(PRODUCT(E16,E26),0)</f>
        <v>0</v>
      </c>
      <c r="F28" s="31"/>
      <c r="G28" s="210">
        <f>E28</f>
        <v>0</v>
      </c>
      <c r="H28" s="210"/>
      <c r="I28" s="82">
        <f>IFERROR(PRODUCT(E16,I26),0)</f>
        <v>0</v>
      </c>
      <c r="J28" s="82"/>
      <c r="K28" s="210">
        <f>I28</f>
        <v>0</v>
      </c>
      <c r="L28" s="210"/>
      <c r="N28" s="97"/>
      <c r="P28" s="97"/>
    </row>
    <row r="29" spans="2:16" ht="3" customHeight="1" x14ac:dyDescent="0.25">
      <c r="C29" s="13"/>
      <c r="D29" s="30"/>
      <c r="E29" s="33"/>
      <c r="F29" s="33"/>
      <c r="G29" s="32"/>
      <c r="H29" s="32"/>
      <c r="I29" s="83"/>
      <c r="J29" s="83"/>
      <c r="K29" s="32"/>
      <c r="L29" s="32"/>
    </row>
    <row r="30" spans="2:16" ht="17.25" customHeight="1" x14ac:dyDescent="0.25">
      <c r="C30" s="13" t="s">
        <v>15</v>
      </c>
      <c r="D30" s="30"/>
      <c r="E30" s="34">
        <v>0</v>
      </c>
      <c r="F30" s="93"/>
      <c r="G30" s="210">
        <f>E30</f>
        <v>0</v>
      </c>
      <c r="H30" s="210"/>
      <c r="I30" s="84">
        <v>0</v>
      </c>
      <c r="J30" s="89"/>
      <c r="K30" s="210">
        <f>I30</f>
        <v>0</v>
      </c>
      <c r="L30" s="210"/>
    </row>
    <row r="31" spans="2:16" ht="6" customHeight="1" x14ac:dyDescent="0.25">
      <c r="C31" s="13"/>
      <c r="D31" s="30"/>
      <c r="E31" s="33"/>
      <c r="F31" s="33"/>
      <c r="G31" s="210"/>
      <c r="H31" s="210"/>
      <c r="I31" s="83"/>
      <c r="J31" s="83"/>
      <c r="K31" s="210"/>
      <c r="L31" s="210"/>
    </row>
    <row r="32" spans="2:16" ht="15" customHeight="1" x14ac:dyDescent="0.25">
      <c r="C32" s="13" t="s">
        <v>16</v>
      </c>
      <c r="D32" s="30"/>
      <c r="E32" s="35">
        <v>0</v>
      </c>
      <c r="F32" s="94"/>
      <c r="G32" s="210">
        <f>E32*E$18</f>
        <v>0</v>
      </c>
      <c r="H32" s="210"/>
      <c r="I32" s="85">
        <v>0</v>
      </c>
      <c r="J32" s="90"/>
      <c r="K32" s="210">
        <f>I32*E$18</f>
        <v>0</v>
      </c>
      <c r="L32" s="210"/>
    </row>
    <row r="33" spans="2:16" ht="6" customHeight="1" x14ac:dyDescent="0.25">
      <c r="C33" s="13"/>
      <c r="D33" s="30"/>
      <c r="E33" s="33"/>
      <c r="F33" s="33"/>
      <c r="G33" s="210"/>
      <c r="H33" s="210"/>
      <c r="I33" s="83"/>
      <c r="J33" s="83"/>
      <c r="K33" s="210"/>
      <c r="L33" s="210"/>
    </row>
    <row r="34" spans="2:16" ht="15.75" customHeight="1" x14ac:dyDescent="0.25">
      <c r="C34" s="13" t="s">
        <v>17</v>
      </c>
      <c r="D34" s="30"/>
      <c r="E34" s="35">
        <v>0</v>
      </c>
      <c r="F34" s="94"/>
      <c r="G34" s="210">
        <f>E34*E$18</f>
        <v>0</v>
      </c>
      <c r="H34" s="210"/>
      <c r="I34" s="85">
        <v>0</v>
      </c>
      <c r="J34" s="90"/>
      <c r="K34" s="210">
        <f>I34*E$18</f>
        <v>0</v>
      </c>
      <c r="L34" s="210"/>
    </row>
    <row r="35" spans="2:16" ht="6" customHeight="1" x14ac:dyDescent="0.25">
      <c r="C35" s="13"/>
      <c r="D35" s="30"/>
      <c r="E35" s="33"/>
      <c r="F35" s="33"/>
      <c r="G35" s="210"/>
      <c r="H35" s="210"/>
      <c r="I35" s="83"/>
      <c r="J35" s="83"/>
      <c r="K35" s="210"/>
      <c r="L35" s="210"/>
    </row>
    <row r="36" spans="2:16" ht="15.75" customHeight="1" x14ac:dyDescent="0.25">
      <c r="C36" s="13" t="s">
        <v>18</v>
      </c>
      <c r="D36" s="30"/>
      <c r="E36" s="35">
        <v>0</v>
      </c>
      <c r="F36" s="94"/>
      <c r="G36" s="210">
        <f>E36*E$18</f>
        <v>0</v>
      </c>
      <c r="H36" s="210"/>
      <c r="I36" s="85">
        <v>0</v>
      </c>
      <c r="J36" s="90"/>
      <c r="K36" s="210">
        <f>I36*E$18</f>
        <v>0</v>
      </c>
      <c r="L36" s="210"/>
      <c r="P36" s="97"/>
    </row>
    <row r="37" spans="2:16" ht="6" customHeight="1" x14ac:dyDescent="0.25">
      <c r="C37" s="13"/>
      <c r="D37" s="30"/>
      <c r="E37" s="33"/>
      <c r="F37" s="33"/>
      <c r="G37" s="210"/>
      <c r="H37" s="210"/>
      <c r="I37" s="83"/>
      <c r="J37" s="83"/>
      <c r="K37" s="210"/>
      <c r="L37" s="210"/>
    </row>
    <row r="38" spans="2:16" ht="15.75" customHeight="1" x14ac:dyDescent="0.25">
      <c r="C38" s="13" t="s">
        <v>19</v>
      </c>
      <c r="D38" s="30"/>
      <c r="E38" s="35">
        <v>0</v>
      </c>
      <c r="F38" s="94"/>
      <c r="G38" s="211" t="s">
        <v>20</v>
      </c>
      <c r="H38" s="211"/>
      <c r="I38" s="85">
        <v>0</v>
      </c>
      <c r="J38" s="90"/>
      <c r="K38" s="211" t="s">
        <v>20</v>
      </c>
      <c r="L38" s="211"/>
    </row>
    <row r="39" spans="2:16" x14ac:dyDescent="0.25">
      <c r="E39" s="15"/>
      <c r="F39" s="15"/>
      <c r="G39" s="15"/>
      <c r="H39" s="15"/>
      <c r="I39" s="15"/>
      <c r="J39" s="15"/>
      <c r="K39" s="210"/>
      <c r="L39" s="210"/>
    </row>
    <row r="40" spans="2:16" ht="17.25" x14ac:dyDescent="0.25">
      <c r="E40" s="95" t="s">
        <v>54</v>
      </c>
      <c r="F40" s="96"/>
      <c r="G40" s="212">
        <f>SUM(G28:H36)</f>
        <v>0</v>
      </c>
      <c r="H40" s="212"/>
      <c r="I40" s="95" t="s">
        <v>54</v>
      </c>
      <c r="J40" s="36"/>
      <c r="K40" s="212">
        <f>SUM(K28:L36)</f>
        <v>0</v>
      </c>
      <c r="L40" s="212"/>
    </row>
    <row r="42" spans="2:16" ht="12" customHeight="1" x14ac:dyDescent="0.25">
      <c r="B42" s="37" t="s">
        <v>21</v>
      </c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2:16" x14ac:dyDescent="0.25"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2"/>
      <c r="M43" s="40"/>
      <c r="N43" s="40"/>
    </row>
    <row r="44" spans="2:16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2"/>
      <c r="M44" s="40"/>
      <c r="N44" s="40"/>
    </row>
    <row r="45" spans="2:16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2"/>
      <c r="M45" s="40"/>
      <c r="N45" s="40"/>
    </row>
    <row r="46" spans="2:16" ht="9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5"/>
    </row>
    <row r="48" spans="2:16" x14ac:dyDescent="0.25">
      <c r="B48" s="41"/>
      <c r="C48" s="42" t="s">
        <v>22</v>
      </c>
      <c r="D48" s="42"/>
      <c r="E48" s="42"/>
      <c r="F48" s="42"/>
      <c r="G48" s="42"/>
      <c r="H48" s="42"/>
      <c r="I48" s="42"/>
      <c r="J48" s="42"/>
      <c r="K48" s="42"/>
      <c r="L48" s="43"/>
    </row>
    <row r="49" spans="2:14" x14ac:dyDescent="0.25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6"/>
    </row>
    <row r="50" spans="2:14" ht="14.45" customHeight="1" x14ac:dyDescent="0.25">
      <c r="B50" s="44"/>
      <c r="C50" s="203" t="s">
        <v>23</v>
      </c>
      <c r="D50" s="203"/>
      <c r="E50" s="203"/>
      <c r="F50" s="203"/>
      <c r="G50" s="203"/>
      <c r="H50" s="203"/>
      <c r="I50" s="203"/>
      <c r="J50" s="203"/>
      <c r="K50" s="203"/>
      <c r="L50" s="46"/>
    </row>
    <row r="51" spans="2:14" x14ac:dyDescent="0.25">
      <c r="B51" s="44"/>
      <c r="C51" s="203"/>
      <c r="D51" s="203"/>
      <c r="E51" s="203"/>
      <c r="F51" s="203"/>
      <c r="G51" s="203"/>
      <c r="H51" s="203"/>
      <c r="I51" s="203"/>
      <c r="J51" s="203"/>
      <c r="K51" s="203"/>
      <c r="L51" s="46"/>
    </row>
    <row r="52" spans="2:14" x14ac:dyDescent="0.25">
      <c r="B52" s="44"/>
      <c r="C52" s="204"/>
      <c r="D52" s="204"/>
      <c r="E52" s="204"/>
      <c r="F52" s="204"/>
      <c r="G52" s="204"/>
      <c r="H52" s="204"/>
      <c r="I52" s="47"/>
      <c r="J52" s="47"/>
      <c r="K52" s="47"/>
      <c r="L52" s="46"/>
    </row>
    <row r="53" spans="2:14" x14ac:dyDescent="0.25">
      <c r="B53" s="44"/>
      <c r="C53" s="204"/>
      <c r="D53" s="204"/>
      <c r="E53" s="204"/>
      <c r="F53" s="204"/>
      <c r="G53" s="204"/>
      <c r="H53" s="204"/>
      <c r="I53" s="45"/>
      <c r="J53" s="45"/>
      <c r="K53" s="206"/>
      <c r="L53" s="207"/>
    </row>
    <row r="54" spans="2:14" x14ac:dyDescent="0.25">
      <c r="B54" s="44"/>
      <c r="C54" s="205"/>
      <c r="D54" s="205"/>
      <c r="E54" s="205"/>
      <c r="F54" s="205"/>
      <c r="G54" s="205"/>
      <c r="H54" s="205"/>
      <c r="K54" s="208"/>
      <c r="L54" s="209"/>
    </row>
    <row r="55" spans="2:14" x14ac:dyDescent="0.25">
      <c r="B55" s="44"/>
      <c r="C55" s="213" t="s">
        <v>24</v>
      </c>
      <c r="D55" s="213"/>
      <c r="E55" s="213"/>
      <c r="F55" s="213"/>
      <c r="G55" s="213"/>
      <c r="H55" s="213"/>
      <c r="K55" s="48" t="s">
        <v>25</v>
      </c>
      <c r="L55" s="46"/>
    </row>
    <row r="56" spans="2:14" x14ac:dyDescent="0.25">
      <c r="B56" s="49"/>
      <c r="C56" s="50"/>
      <c r="D56" s="50"/>
      <c r="E56" s="50"/>
      <c r="F56" s="50"/>
      <c r="G56" s="50"/>
      <c r="H56" s="51"/>
      <c r="I56" s="51"/>
      <c r="J56" s="51"/>
      <c r="K56" s="52"/>
      <c r="L56" s="53"/>
    </row>
    <row r="58" spans="2:14" x14ac:dyDescent="0.25">
      <c r="B58" s="54"/>
      <c r="C58" s="42" t="s">
        <v>26</v>
      </c>
      <c r="D58" s="42"/>
      <c r="E58" s="42"/>
      <c r="F58" s="42"/>
      <c r="G58" s="42"/>
      <c r="H58" s="42"/>
      <c r="I58" s="42"/>
      <c r="J58" s="42"/>
      <c r="K58" s="42"/>
      <c r="L58" s="55"/>
      <c r="M58" s="56"/>
      <c r="N58" s="56"/>
    </row>
    <row r="59" spans="2:14" x14ac:dyDescent="0.25">
      <c r="B59" s="57"/>
      <c r="C59" s="45"/>
      <c r="D59" s="45"/>
      <c r="E59" s="45"/>
      <c r="F59" s="45"/>
      <c r="G59" s="45"/>
      <c r="H59" s="45"/>
      <c r="I59" s="45"/>
      <c r="J59" s="45"/>
      <c r="K59" s="45"/>
      <c r="L59" s="58"/>
      <c r="M59" s="59"/>
      <c r="N59" s="59"/>
    </row>
    <row r="60" spans="2:14" ht="15" customHeight="1" x14ac:dyDescent="0.25">
      <c r="B60" s="57"/>
      <c r="C60" s="214" t="s">
        <v>27</v>
      </c>
      <c r="D60" s="214"/>
      <c r="E60" s="214"/>
      <c r="F60" s="214"/>
      <c r="G60" s="214"/>
      <c r="H60" s="214"/>
      <c r="I60" s="214"/>
      <c r="J60" s="214"/>
      <c r="K60" s="214"/>
      <c r="L60" s="215"/>
      <c r="M60" s="30"/>
      <c r="N60" s="30"/>
    </row>
    <row r="61" spans="2:14" x14ac:dyDescent="0.25">
      <c r="B61" s="57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30"/>
      <c r="N61" s="30"/>
    </row>
    <row r="62" spans="2:14" x14ac:dyDescent="0.25">
      <c r="B62" s="57"/>
      <c r="C62" s="204"/>
      <c r="D62" s="204"/>
      <c r="E62" s="204"/>
      <c r="F62" s="204"/>
      <c r="G62" s="204"/>
      <c r="H62" s="204"/>
      <c r="I62" s="60"/>
      <c r="J62" s="60"/>
      <c r="K62" s="60"/>
      <c r="L62" s="61"/>
      <c r="M62" s="62"/>
      <c r="N62" s="63"/>
    </row>
    <row r="63" spans="2:14" x14ac:dyDescent="0.25">
      <c r="B63" s="57"/>
      <c r="C63" s="204"/>
      <c r="D63" s="204"/>
      <c r="E63" s="204"/>
      <c r="F63" s="204"/>
      <c r="G63" s="204"/>
      <c r="H63" s="204"/>
      <c r="I63" s="60"/>
      <c r="J63" s="60"/>
      <c r="K63" s="206"/>
      <c r="L63" s="207"/>
      <c r="M63" s="62"/>
    </row>
    <row r="64" spans="2:14" x14ac:dyDescent="0.25">
      <c r="B64" s="57"/>
      <c r="C64" s="205"/>
      <c r="D64" s="205"/>
      <c r="E64" s="205"/>
      <c r="F64" s="205"/>
      <c r="G64" s="205"/>
      <c r="H64" s="205"/>
      <c r="I64" s="60"/>
      <c r="J64" s="60"/>
      <c r="K64" s="208"/>
      <c r="L64" s="209"/>
      <c r="M64" s="62"/>
    </row>
    <row r="65" spans="2:14" x14ac:dyDescent="0.25">
      <c r="B65" s="57"/>
      <c r="C65" s="64" t="s">
        <v>28</v>
      </c>
      <c r="D65" s="64"/>
      <c r="E65" s="64"/>
      <c r="F65" s="64"/>
      <c r="G65" s="64"/>
      <c r="H65" s="64"/>
      <c r="I65" s="64"/>
      <c r="J65" s="64"/>
      <c r="K65" s="48" t="s">
        <v>25</v>
      </c>
      <c r="L65" s="65"/>
      <c r="M65" s="66"/>
    </row>
    <row r="66" spans="2:14" x14ac:dyDescent="0.25">
      <c r="B66" s="67"/>
      <c r="C66" s="50"/>
      <c r="D66" s="50"/>
      <c r="E66" s="50"/>
      <c r="F66" s="50"/>
      <c r="G66" s="50"/>
      <c r="H66" s="50"/>
      <c r="I66" s="50"/>
      <c r="J66" s="50"/>
      <c r="K66" s="50"/>
      <c r="L66" s="68"/>
      <c r="M66" s="15"/>
      <c r="N66" s="15"/>
    </row>
    <row r="68" spans="2:14" x14ac:dyDescent="0.25">
      <c r="C68" s="69" t="s">
        <v>172</v>
      </c>
    </row>
    <row r="69" spans="2:14" x14ac:dyDescent="0.25">
      <c r="C69" s="70" t="s">
        <v>29</v>
      </c>
    </row>
  </sheetData>
  <sheetProtection algorithmName="SHA-512" hashValue="Zabq8L5Os2bx60IAb8x8G0pypv4JdI86XylW3IClqbCxMDubs+oMJPUOo+v1vEU7wx9OmEeYpU5hvcd7pp2Gfg==" saltValue="qZzhhrKLRFwRzlEcJIrBzA==" spinCount="100000" sheet="1" objects="1" scenarios="1"/>
  <mergeCells count="38">
    <mergeCell ref="K32:L32"/>
    <mergeCell ref="K33:L33"/>
    <mergeCell ref="K34:L34"/>
    <mergeCell ref="K35:L35"/>
    <mergeCell ref="K36:L36"/>
    <mergeCell ref="C62:H64"/>
    <mergeCell ref="K63:L64"/>
    <mergeCell ref="C55:H55"/>
    <mergeCell ref="C60:L61"/>
    <mergeCell ref="K22:L22"/>
    <mergeCell ref="G22:H22"/>
    <mergeCell ref="G30:H30"/>
    <mergeCell ref="G31:H31"/>
    <mergeCell ref="K30:L30"/>
    <mergeCell ref="K31:L31"/>
    <mergeCell ref="G37:H37"/>
    <mergeCell ref="G38:H38"/>
    <mergeCell ref="K40:L40"/>
    <mergeCell ref="K28:L28"/>
    <mergeCell ref="I15:I19"/>
    <mergeCell ref="K15:L19"/>
    <mergeCell ref="C50:K51"/>
    <mergeCell ref="C52:H54"/>
    <mergeCell ref="K53:L54"/>
    <mergeCell ref="K37:L37"/>
    <mergeCell ref="K38:L38"/>
    <mergeCell ref="K39:L39"/>
    <mergeCell ref="G28:H28"/>
    <mergeCell ref="G40:H40"/>
    <mergeCell ref="G32:H32"/>
    <mergeCell ref="G33:H33"/>
    <mergeCell ref="G34:H34"/>
    <mergeCell ref="G35:H35"/>
    <mergeCell ref="G36:H36"/>
    <mergeCell ref="E11:I11"/>
    <mergeCell ref="C1:K1"/>
    <mergeCell ref="C2:K2"/>
    <mergeCell ref="C3:I3"/>
  </mergeCells>
  <hyperlinks>
    <hyperlink ref="K15" r:id="rId1" display="Fee Schedule" xr:uid="{3645D215-0B89-4220-9C4D-C16F50F533A5}"/>
    <hyperlink ref="K15:L19" location="'Fee Table'!A1" display="New Fee Schedule" xr:uid="{78B4E0A5-9BDD-45BC-AC76-6AFF0A2B1CDF}"/>
  </hyperlinks>
  <printOptions horizontalCentered="1"/>
  <pageMargins left="0.45" right="0.45" top="0.5" bottom="0.5" header="0.3" footer="0.3"/>
  <pageSetup scale="86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974DAF-E971-4FB1-911F-609FDFB9C389}">
          <x14:formula1>
            <xm:f>'72 hour'!$L$5:$L$17</xm:f>
          </x14:formula1>
          <xm:sqref>I9:J9</xm:sqref>
        </x14:dataValidation>
        <x14:dataValidation type="list" allowBlank="1" showInputMessage="1" showErrorMessage="1" xr:uid="{D46DCAAD-C55A-43A9-BADD-0FD2F4CF26F2}">
          <x14:formula1>
            <xm:f>'72 hour'!$K$5:$K$17</xm:f>
          </x14:formula1>
          <xm:sqref>E9:G9</xm:sqref>
        </x14:dataValidation>
        <x14:dataValidation type="list" allowBlank="1" showInputMessage="1" showErrorMessage="1" xr:uid="{3DBAC0D5-A1D0-4EF5-BC5B-6C2382271F09}">
          <x14:formula1>
            <xm:f>'72 hour'!$D$20:$D$21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D027-8574-4F43-86C2-1C99271420E9}">
  <dimension ref="B1:Q81"/>
  <sheetViews>
    <sheetView showGridLines="0" topLeftCell="A10" zoomScale="70" zoomScaleNormal="70" workbookViewId="0">
      <selection activeCell="H48" sqref="H48"/>
    </sheetView>
  </sheetViews>
  <sheetFormatPr defaultColWidth="9.140625" defaultRowHeight="15" x14ac:dyDescent="0.25"/>
  <cols>
    <col min="2" max="2" width="21.85546875" customWidth="1"/>
    <col min="3" max="3" width="25.28515625" customWidth="1"/>
    <col min="4" max="4" width="20.140625" customWidth="1"/>
    <col min="5" max="5" width="14.42578125" customWidth="1"/>
    <col min="6" max="6" width="15.85546875" customWidth="1"/>
    <col min="7" max="7" width="30.5703125" bestFit="1" customWidth="1"/>
    <col min="8" max="8" width="25.28515625" customWidth="1"/>
    <col min="9" max="9" width="18.140625" customWidth="1"/>
    <col min="10" max="10" width="15.28515625" hidden="1" customWidth="1"/>
    <col min="11" max="11" width="12" hidden="1" customWidth="1"/>
    <col min="12" max="12" width="19" hidden="1" customWidth="1"/>
    <col min="13" max="13" width="15.5703125" hidden="1" customWidth="1"/>
    <col min="14" max="14" width="14.140625" hidden="1" customWidth="1"/>
    <col min="15" max="15" width="17.7109375" hidden="1" customWidth="1"/>
    <col min="16" max="16" width="25.42578125" hidden="1" customWidth="1"/>
    <col min="17" max="17" width="11.5703125" customWidth="1"/>
    <col min="18" max="18" width="20.28515625" customWidth="1"/>
  </cols>
  <sheetData>
    <row r="1" spans="2:9" hidden="1" x14ac:dyDescent="0.25"/>
    <row r="2" spans="2:9" hidden="1" x14ac:dyDescent="0.25"/>
    <row r="3" spans="2:9" hidden="1" x14ac:dyDescent="0.25">
      <c r="B3" s="219" t="s">
        <v>56</v>
      </c>
      <c r="C3" s="219"/>
      <c r="D3" s="219"/>
    </row>
    <row r="4" spans="2:9" hidden="1" x14ac:dyDescent="0.25">
      <c r="B4" s="101" t="s">
        <v>57</v>
      </c>
      <c r="C4" s="101" t="s">
        <v>58</v>
      </c>
      <c r="D4" s="101" t="s">
        <v>59</v>
      </c>
    </row>
    <row r="5" spans="2:9" ht="45" hidden="1" x14ac:dyDescent="0.25">
      <c r="B5" s="102" t="s">
        <v>60</v>
      </c>
      <c r="C5" s="103" t="s">
        <v>61</v>
      </c>
      <c r="D5" s="103" t="s">
        <v>62</v>
      </c>
      <c r="E5" t="s">
        <v>63</v>
      </c>
      <c r="G5" s="104" t="s">
        <v>64</v>
      </c>
    </row>
    <row r="6" spans="2:9" ht="87" hidden="1" customHeight="1" x14ac:dyDescent="0.25">
      <c r="B6" s="105" t="s">
        <v>65</v>
      </c>
      <c r="C6" s="103" t="s">
        <v>66</v>
      </c>
      <c r="D6" s="103" t="s">
        <v>67</v>
      </c>
      <c r="E6" s="106" t="s">
        <v>68</v>
      </c>
      <c r="G6" s="106" t="s">
        <v>69</v>
      </c>
    </row>
    <row r="7" spans="2:9" ht="30.6" hidden="1" customHeight="1" x14ac:dyDescent="0.25">
      <c r="B7" s="105" t="s">
        <v>70</v>
      </c>
      <c r="C7" s="103" t="s">
        <v>71</v>
      </c>
      <c r="D7" s="103" t="s">
        <v>72</v>
      </c>
      <c r="E7" t="s">
        <v>73</v>
      </c>
      <c r="G7" t="s">
        <v>74</v>
      </c>
      <c r="H7" t="s">
        <v>75</v>
      </c>
      <c r="I7" t="s">
        <v>76</v>
      </c>
    </row>
    <row r="8" spans="2:9" ht="30.6" hidden="1" customHeight="1" x14ac:dyDescent="0.25">
      <c r="C8" s="107"/>
      <c r="D8" s="107"/>
    </row>
    <row r="9" spans="2:9" ht="30.6" hidden="1" customHeight="1" x14ac:dyDescent="0.25">
      <c r="C9" s="107"/>
      <c r="D9" s="107"/>
    </row>
    <row r="10" spans="2:9" ht="30.6" customHeight="1" x14ac:dyDescent="0.25">
      <c r="B10" s="220" t="s">
        <v>77</v>
      </c>
      <c r="C10" s="220"/>
      <c r="D10" s="220"/>
      <c r="E10" s="220"/>
      <c r="F10" s="220"/>
      <c r="G10" s="220"/>
      <c r="H10" s="220"/>
      <c r="I10" s="220"/>
    </row>
    <row r="11" spans="2:9" ht="30.6" customHeight="1" x14ac:dyDescent="0.25">
      <c r="B11" s="220"/>
      <c r="C11" s="220"/>
      <c r="D11" s="220"/>
      <c r="E11" s="220"/>
      <c r="F11" s="220"/>
      <c r="G11" s="220"/>
      <c r="H11" s="220"/>
      <c r="I11" s="220"/>
    </row>
    <row r="12" spans="2:9" ht="30.6" customHeight="1" x14ac:dyDescent="0.25">
      <c r="B12" s="107"/>
      <c r="C12" s="107"/>
      <c r="D12" s="107"/>
    </row>
    <row r="13" spans="2:9" ht="24" thickBot="1" x14ac:dyDescent="0.4">
      <c r="B13" s="108" t="s">
        <v>60</v>
      </c>
      <c r="C13" s="108"/>
      <c r="D13" s="108"/>
      <c r="E13" s="108"/>
      <c r="F13" s="108"/>
      <c r="G13" s="108"/>
      <c r="H13" s="108"/>
      <c r="I13" s="108"/>
    </row>
    <row r="14" spans="2:9" x14ac:dyDescent="0.25">
      <c r="B14" s="109"/>
      <c r="C14" s="110"/>
      <c r="D14" s="111"/>
      <c r="E14" s="110"/>
      <c r="F14" s="110"/>
      <c r="G14" s="110"/>
      <c r="H14" s="110"/>
      <c r="I14" s="112"/>
    </row>
    <row r="15" spans="2:9" x14ac:dyDescent="0.25">
      <c r="B15" s="113"/>
      <c r="I15" s="114"/>
    </row>
    <row r="16" spans="2:9" x14ac:dyDescent="0.25">
      <c r="B16" s="113"/>
      <c r="C16" s="115" t="s">
        <v>78</v>
      </c>
      <c r="D16" s="115"/>
      <c r="F16" s="115" t="s">
        <v>79</v>
      </c>
      <c r="G16" s="115" t="s">
        <v>80</v>
      </c>
      <c r="H16" s="115"/>
      <c r="I16" s="116" t="s">
        <v>81</v>
      </c>
    </row>
    <row r="17" spans="2:13" x14ac:dyDescent="0.25">
      <c r="B17" s="113"/>
      <c r="D17" t="s">
        <v>82</v>
      </c>
      <c r="F17" t="s">
        <v>83</v>
      </c>
      <c r="G17" t="s">
        <v>84</v>
      </c>
      <c r="I17" s="117">
        <v>0</v>
      </c>
    </row>
    <row r="18" spans="2:13" ht="30" x14ac:dyDescent="0.25">
      <c r="B18" s="113"/>
      <c r="C18" s="106" t="s">
        <v>85</v>
      </c>
      <c r="D18" s="118">
        <f>10*6*7*(52/12)</f>
        <v>1819.9999999999998</v>
      </c>
      <c r="F18" t="s">
        <v>86</v>
      </c>
      <c r="G18" t="s">
        <v>87</v>
      </c>
      <c r="I18" s="117">
        <v>0</v>
      </c>
    </row>
    <row r="19" spans="2:13" x14ac:dyDescent="0.25">
      <c r="B19" s="113"/>
      <c r="C19" t="s">
        <v>88</v>
      </c>
      <c r="D19" s="118">
        <f>207+SUM(I17:I26)</f>
        <v>297</v>
      </c>
      <c r="F19" t="s">
        <v>89</v>
      </c>
      <c r="G19" t="s">
        <v>90</v>
      </c>
      <c r="I19" s="117">
        <v>0</v>
      </c>
    </row>
    <row r="20" spans="2:13" x14ac:dyDescent="0.25">
      <c r="B20" s="113"/>
      <c r="G20" t="s">
        <v>91</v>
      </c>
      <c r="I20" s="117">
        <v>0</v>
      </c>
      <c r="K20" s="115" t="s">
        <v>92</v>
      </c>
    </row>
    <row r="21" spans="2:13" ht="15.75" thickBot="1" x14ac:dyDescent="0.3">
      <c r="B21" s="113"/>
      <c r="D21" s="115"/>
      <c r="G21" t="s">
        <v>93</v>
      </c>
      <c r="I21" s="117">
        <v>0</v>
      </c>
      <c r="K21" t="s">
        <v>94</v>
      </c>
    </row>
    <row r="22" spans="2:13" ht="15.75" thickBot="1" x14ac:dyDescent="0.3">
      <c r="B22" s="113"/>
      <c r="C22" t="s">
        <v>95</v>
      </c>
      <c r="D22" s="119">
        <v>0.2</v>
      </c>
      <c r="G22" t="s">
        <v>96</v>
      </c>
      <c r="I22" s="117">
        <v>0</v>
      </c>
      <c r="K22" t="s">
        <v>97</v>
      </c>
    </row>
    <row r="23" spans="2:13" ht="15.75" thickBot="1" x14ac:dyDescent="0.3">
      <c r="B23" s="113"/>
      <c r="C23" t="s">
        <v>98</v>
      </c>
      <c r="D23" s="119">
        <v>0.17</v>
      </c>
      <c r="G23" t="s">
        <v>99</v>
      </c>
      <c r="I23" s="117">
        <v>0</v>
      </c>
      <c r="K23" t="s">
        <v>100</v>
      </c>
    </row>
    <row r="24" spans="2:13" ht="15.75" thickBot="1" x14ac:dyDescent="0.3">
      <c r="B24" s="113"/>
      <c r="C24" t="s">
        <v>101</v>
      </c>
      <c r="D24" s="120">
        <v>1.4999999999999999E-2</v>
      </c>
      <c r="G24" t="s">
        <v>102</v>
      </c>
      <c r="I24" s="117">
        <v>0</v>
      </c>
    </row>
    <row r="25" spans="2:13" x14ac:dyDescent="0.25">
      <c r="B25" s="113"/>
      <c r="C25" t="s">
        <v>103</v>
      </c>
      <c r="D25" s="121">
        <v>0.16</v>
      </c>
      <c r="G25" t="s">
        <v>104</v>
      </c>
      <c r="I25" s="117">
        <v>0</v>
      </c>
    </row>
    <row r="26" spans="2:13" x14ac:dyDescent="0.25">
      <c r="B26" s="113"/>
      <c r="G26" t="s">
        <v>105</v>
      </c>
      <c r="I26" s="117">
        <v>90</v>
      </c>
    </row>
    <row r="27" spans="2:13" x14ac:dyDescent="0.25">
      <c r="B27" s="113"/>
      <c r="I27" s="114"/>
      <c r="K27">
        <f>(((E31*0.11)+(D31*0.07))*D28)</f>
        <v>2.6526393599999993</v>
      </c>
    </row>
    <row r="28" spans="2:13" x14ac:dyDescent="0.25">
      <c r="B28" s="113"/>
      <c r="C28" t="s">
        <v>106</v>
      </c>
      <c r="D28" s="121">
        <v>0.12</v>
      </c>
      <c r="I28" s="114"/>
    </row>
    <row r="29" spans="2:13" x14ac:dyDescent="0.25">
      <c r="B29" s="113"/>
      <c r="I29" s="114"/>
    </row>
    <row r="30" spans="2:13" ht="61.5" x14ac:dyDescent="0.35">
      <c r="B30" s="1" t="s">
        <v>0</v>
      </c>
      <c r="C30" s="122" t="s">
        <v>107</v>
      </c>
      <c r="D30" s="122" t="s">
        <v>108</v>
      </c>
      <c r="E30" s="122" t="s">
        <v>109</v>
      </c>
      <c r="F30" s="122" t="s">
        <v>110</v>
      </c>
      <c r="G30" s="123" t="s">
        <v>111</v>
      </c>
      <c r="H30" s="124" t="s">
        <v>112</v>
      </c>
      <c r="I30" s="2" t="s">
        <v>1</v>
      </c>
      <c r="K30" s="115" t="s">
        <v>113</v>
      </c>
      <c r="L30" s="106" t="s">
        <v>114</v>
      </c>
      <c r="M30" s="106" t="s">
        <v>115</v>
      </c>
    </row>
    <row r="31" spans="2:13" ht="21" x14ac:dyDescent="0.35">
      <c r="B31" s="1" t="s">
        <v>116</v>
      </c>
      <c r="C31" s="125">
        <f>P67+P68</f>
        <v>31</v>
      </c>
      <c r="D31" s="126">
        <f>(($D$18/60))+($D$28*(($D$18/60)))</f>
        <v>33.973333333333329</v>
      </c>
      <c r="E31" s="126">
        <f>(D31*0.11)+((C31*$D$19)/60)+ ((D31*0.11)+((C31*$D$19)/60)*$D$28)</f>
        <v>179.3381333333333</v>
      </c>
      <c r="F31" s="127">
        <f>(E31*0.11)+(D31*0.07)+(((E31*0.11)+(D31*0.07))*$D$28)</f>
        <v>24.757967359999995</v>
      </c>
      <c r="G31" s="128">
        <f>ROUND((D31*$E$35)+(E31*$E$36)+(F31*$E$37),2)</f>
        <v>6769.27</v>
      </c>
      <c r="H31" s="129">
        <f>G31*(SUM($D$22:$D$25))</f>
        <v>3689.2521500000007</v>
      </c>
      <c r="I31" s="98">
        <f t="shared" ref="I31:I33" si="0">G31+H31</f>
        <v>10458.522150000001</v>
      </c>
      <c r="K31" s="130">
        <v>13357.143</v>
      </c>
      <c r="L31" s="130">
        <v>9992.766450000001</v>
      </c>
      <c r="M31" s="130">
        <v>10458.522150000001</v>
      </c>
    </row>
    <row r="32" spans="2:13" ht="21" x14ac:dyDescent="0.35">
      <c r="B32" s="1" t="s">
        <v>117</v>
      </c>
      <c r="C32" s="125">
        <f>P70+P69</f>
        <v>29</v>
      </c>
      <c r="D32" s="126">
        <f t="shared" ref="D32:D33" si="1">(($D$18/60))+($D$28*(($D$18/60)))</f>
        <v>33.973333333333329</v>
      </c>
      <c r="E32" s="126">
        <f t="shared" ref="E32:E33" si="2">(D32*0.11)+((C32*$D$19)/60)+ ((D32*0.11)+((C32*$D$19)/60)*$D$28)</f>
        <v>168.25013333333334</v>
      </c>
      <c r="F32" s="127">
        <f t="shared" ref="F32:F33" si="3">(E32*0.11)+(D32*0.07)+(((E32*0.11)+(D32*0.07))*$D$28)</f>
        <v>23.391925760000003</v>
      </c>
      <c r="G32" s="128">
        <f>ROUND((D32*$E$35)+(E32*$E$36)+(F32*$E$37),2)</f>
        <v>6408.24</v>
      </c>
      <c r="H32" s="129">
        <f>G32*(SUM($D$22:$D$25))</f>
        <v>3492.4908</v>
      </c>
      <c r="I32" s="98">
        <f t="shared" si="0"/>
        <v>9900.7307999999994</v>
      </c>
      <c r="K32" s="130">
        <v>8079.6702000000005</v>
      </c>
      <c r="L32" s="130">
        <v>9465.0099000000009</v>
      </c>
      <c r="M32" s="130">
        <v>9900.7307999999994</v>
      </c>
    </row>
    <row r="33" spans="2:16" ht="21.75" thickBot="1" x14ac:dyDescent="0.4">
      <c r="B33" s="1" t="s">
        <v>118</v>
      </c>
      <c r="C33" s="125">
        <f>P71+P72</f>
        <v>29</v>
      </c>
      <c r="D33" s="126">
        <f t="shared" si="1"/>
        <v>33.973333333333329</v>
      </c>
      <c r="E33" s="126">
        <f t="shared" si="2"/>
        <v>168.25013333333334</v>
      </c>
      <c r="F33" s="127">
        <f t="shared" si="3"/>
        <v>23.391925760000003</v>
      </c>
      <c r="G33" s="128">
        <f>ROUND((D33*$E$35)+(E33*$E$36)+(F33*$E$37),2)</f>
        <v>6408.24</v>
      </c>
      <c r="H33" s="129">
        <f>G33*(SUM($D$22:$D$25))</f>
        <v>3492.4908</v>
      </c>
      <c r="I33" s="98">
        <f t="shared" si="0"/>
        <v>9900.7307999999994</v>
      </c>
      <c r="K33" s="130">
        <v>9003.2403000000013</v>
      </c>
      <c r="L33" s="130">
        <v>9465.0099000000009</v>
      </c>
      <c r="M33" s="130">
        <v>9900.7307999999994</v>
      </c>
    </row>
    <row r="34" spans="2:16" x14ac:dyDescent="0.25">
      <c r="B34" s="113"/>
      <c r="D34" s="131" t="s">
        <v>119</v>
      </c>
      <c r="E34" s="132" t="s">
        <v>120</v>
      </c>
      <c r="I34" s="114"/>
      <c r="K34" s="133">
        <f>SUM(K31:K33)</f>
        <v>30440.053500000002</v>
      </c>
      <c r="L34" s="133">
        <f>SUM(L31:L33)</f>
        <v>28922.786250000001</v>
      </c>
      <c r="M34" s="133">
        <f>SUM(M31:M33)</f>
        <v>30259.983749999999</v>
      </c>
    </row>
    <row r="35" spans="2:16" x14ac:dyDescent="0.25">
      <c r="B35" s="113"/>
      <c r="D35" s="1" t="s">
        <v>121</v>
      </c>
      <c r="E35" s="134">
        <f>20+(20*0.24)</f>
        <v>24.8</v>
      </c>
      <c r="I35" s="114"/>
    </row>
    <row r="36" spans="2:16" x14ac:dyDescent="0.25">
      <c r="B36" s="113"/>
      <c r="D36" s="1" t="s">
        <v>122</v>
      </c>
      <c r="E36" s="134">
        <f>E35+(E35*0.15)</f>
        <v>28.52</v>
      </c>
      <c r="I36" s="114"/>
    </row>
    <row r="37" spans="2:16" ht="15.75" thickBot="1" x14ac:dyDescent="0.3">
      <c r="B37" s="135"/>
      <c r="C37" s="136"/>
      <c r="D37" s="137" t="s">
        <v>123</v>
      </c>
      <c r="E37" s="138">
        <f>E36+(E36*0.15)</f>
        <v>32.798000000000002</v>
      </c>
      <c r="F37" s="136"/>
      <c r="G37" s="136"/>
      <c r="H37" s="136"/>
      <c r="I37" s="139"/>
    </row>
    <row r="38" spans="2:16" x14ac:dyDescent="0.25">
      <c r="B38" s="140" t="s">
        <v>124</v>
      </c>
      <c r="L38" t="s">
        <v>125</v>
      </c>
      <c r="M38" t="s">
        <v>126</v>
      </c>
      <c r="N38" t="s">
        <v>127</v>
      </c>
    </row>
    <row r="39" spans="2:16" x14ac:dyDescent="0.25">
      <c r="L39" s="141">
        <f>K34-M34</f>
        <v>180.06975000000239</v>
      </c>
      <c r="M39" s="141">
        <f>L39*12</f>
        <v>2160.8370000000286</v>
      </c>
      <c r="N39" s="141">
        <f>M39*0.1</f>
        <v>216.08370000000286</v>
      </c>
    </row>
    <row r="40" spans="2:16" s="106" customFormat="1" x14ac:dyDescent="0.25">
      <c r="B40"/>
      <c r="C40"/>
      <c r="D40"/>
      <c r="E40"/>
      <c r="F40"/>
      <c r="G40"/>
      <c r="H40"/>
      <c r="I40"/>
      <c r="J40"/>
      <c r="K40"/>
      <c r="L40"/>
      <c r="M40"/>
      <c r="O40"/>
      <c r="P40"/>
    </row>
    <row r="41" spans="2:16" ht="24" thickBot="1" x14ac:dyDescent="0.4">
      <c r="B41" s="221" t="s">
        <v>65</v>
      </c>
      <c r="C41" s="221"/>
      <c r="D41" s="221"/>
      <c r="E41" s="221"/>
      <c r="F41" s="221"/>
      <c r="G41" s="221"/>
      <c r="H41" s="221"/>
      <c r="I41" s="221"/>
    </row>
    <row r="42" spans="2:16" x14ac:dyDescent="0.25">
      <c r="B42" s="109"/>
      <c r="C42" s="111"/>
      <c r="D42" s="111"/>
      <c r="E42" s="111"/>
      <c r="F42" s="111"/>
      <c r="G42" s="111"/>
      <c r="H42" s="111"/>
      <c r="I42" s="142"/>
    </row>
    <row r="43" spans="2:16" ht="15.75" thickBot="1" x14ac:dyDescent="0.3">
      <c r="B43" s="113"/>
      <c r="F43" s="222" t="s">
        <v>128</v>
      </c>
      <c r="G43" s="222"/>
      <c r="I43" s="114"/>
      <c r="N43" s="143"/>
    </row>
    <row r="44" spans="2:16" x14ac:dyDescent="0.25">
      <c r="B44" s="1" t="s">
        <v>129</v>
      </c>
      <c r="C44" s="118"/>
      <c r="E44" s="118"/>
      <c r="F44" s="223" t="s">
        <v>130</v>
      </c>
      <c r="G44" s="224"/>
      <c r="I44" s="114"/>
    </row>
    <row r="45" spans="2:16" ht="21" x14ac:dyDescent="0.35">
      <c r="B45" s="144" t="s">
        <v>131</v>
      </c>
      <c r="C45" s="145">
        <v>0.79661016949152541</v>
      </c>
      <c r="F45" s="146" t="s">
        <v>132</v>
      </c>
      <c r="G45" s="147" t="s">
        <v>133</v>
      </c>
      <c r="H45" s="148" t="s">
        <v>134</v>
      </c>
      <c r="I45" s="114"/>
    </row>
    <row r="46" spans="2:16" ht="15.75" thickBot="1" x14ac:dyDescent="0.3">
      <c r="B46" s="144" t="s">
        <v>135</v>
      </c>
      <c r="C46" s="145">
        <v>0.20338983050847459</v>
      </c>
      <c r="F46" s="149">
        <f>(C47/2)*D51</f>
        <v>55.475083333333338</v>
      </c>
      <c r="G46" s="150">
        <f>((C48+C54)*D51)+(SUM(C55:C58)*D52)</f>
        <v>138.9484572128747</v>
      </c>
      <c r="H46" s="151">
        <f>SUM(F46:G46)+C50</f>
        <v>197.92354054620805</v>
      </c>
      <c r="I46" s="152"/>
    </row>
    <row r="47" spans="2:16" x14ac:dyDescent="0.25">
      <c r="B47" s="153" t="s">
        <v>136</v>
      </c>
      <c r="C47" s="154">
        <v>179</v>
      </c>
      <c r="I47" s="114"/>
    </row>
    <row r="48" spans="2:16" x14ac:dyDescent="0.25">
      <c r="B48" s="113" t="s">
        <v>137</v>
      </c>
      <c r="C48" s="154">
        <v>112</v>
      </c>
      <c r="H48" s="141"/>
      <c r="I48" s="114"/>
    </row>
    <row r="49" spans="2:9" x14ac:dyDescent="0.25">
      <c r="B49" s="155" t="s">
        <v>138</v>
      </c>
      <c r="I49" s="114"/>
    </row>
    <row r="50" spans="2:9" x14ac:dyDescent="0.25">
      <c r="B50" s="113" t="s">
        <v>139</v>
      </c>
      <c r="C50" s="156">
        <v>3.5</v>
      </c>
      <c r="I50" s="114"/>
    </row>
    <row r="51" spans="2:9" x14ac:dyDescent="0.25">
      <c r="B51" s="113" t="s">
        <v>140</v>
      </c>
      <c r="C51" s="156">
        <v>37.19</v>
      </c>
      <c r="D51" s="141">
        <f>C51/60</f>
        <v>0.61983333333333335</v>
      </c>
      <c r="I51" s="114"/>
    </row>
    <row r="52" spans="2:9" ht="15" customHeight="1" x14ac:dyDescent="0.25">
      <c r="B52" s="113" t="s">
        <v>141</v>
      </c>
      <c r="C52" s="156">
        <v>37.19</v>
      </c>
      <c r="D52" s="141">
        <f>C52/60</f>
        <v>0.61983333333333335</v>
      </c>
      <c r="G52" s="157" t="s">
        <v>142</v>
      </c>
      <c r="I52" s="114"/>
    </row>
    <row r="53" spans="2:9" x14ac:dyDescent="0.25">
      <c r="B53" s="113"/>
      <c r="C53" s="100" t="s">
        <v>143</v>
      </c>
      <c r="G53" t="s">
        <v>144</v>
      </c>
      <c r="I53" s="114"/>
    </row>
    <row r="54" spans="2:9" x14ac:dyDescent="0.25">
      <c r="B54" s="158" t="s">
        <v>145</v>
      </c>
      <c r="C54" s="159">
        <v>10</v>
      </c>
      <c r="G54" s="217" t="s">
        <v>146</v>
      </c>
      <c r="H54" s="217"/>
      <c r="I54" s="218"/>
    </row>
    <row r="55" spans="2:9" x14ac:dyDescent="0.25">
      <c r="B55" s="113" t="s">
        <v>147</v>
      </c>
      <c r="C55" s="160">
        <v>45</v>
      </c>
      <c r="G55" s="217"/>
      <c r="H55" s="217"/>
      <c r="I55" s="218"/>
    </row>
    <row r="56" spans="2:9" x14ac:dyDescent="0.25">
      <c r="B56" s="113" t="s">
        <v>148</v>
      </c>
      <c r="C56" s="161">
        <v>15</v>
      </c>
      <c r="G56" s="217" t="s">
        <v>67</v>
      </c>
      <c r="H56" s="217"/>
      <c r="I56" s="218"/>
    </row>
    <row r="57" spans="2:9" x14ac:dyDescent="0.25">
      <c r="B57" s="113" t="s">
        <v>149</v>
      </c>
      <c r="C57" s="162">
        <f>(505/15631)*(AVERAGE(C31:C33))*32</f>
        <v>30.670675793828504</v>
      </c>
      <c r="H57" s="163"/>
      <c r="I57" s="164"/>
    </row>
    <row r="58" spans="2:9" ht="15.75" x14ac:dyDescent="0.25">
      <c r="B58" s="113" t="s">
        <v>150</v>
      </c>
      <c r="C58" s="165">
        <f>5*2.3</f>
        <v>11.5</v>
      </c>
      <c r="H58" s="163"/>
      <c r="I58" s="164"/>
    </row>
    <row r="59" spans="2:9" ht="15.75" thickBot="1" x14ac:dyDescent="0.3">
      <c r="B59" s="166"/>
      <c r="C59" s="167"/>
      <c r="D59" s="167"/>
      <c r="E59" s="167"/>
      <c r="F59" s="167"/>
      <c r="G59" s="167"/>
      <c r="H59" s="168"/>
      <c r="I59" s="169"/>
    </row>
    <row r="60" spans="2:9" x14ac:dyDescent="0.25">
      <c r="H60" s="163"/>
    </row>
    <row r="61" spans="2:9" x14ac:dyDescent="0.25">
      <c r="C61" s="115"/>
    </row>
    <row r="62" spans="2:9" hidden="1" x14ac:dyDescent="0.25">
      <c r="C62" s="115"/>
    </row>
    <row r="63" spans="2:9" hidden="1" x14ac:dyDescent="0.25">
      <c r="C63" s="115"/>
    </row>
    <row r="64" spans="2:9" hidden="1" x14ac:dyDescent="0.25">
      <c r="C64" s="115"/>
    </row>
    <row r="65" spans="2:17" hidden="1" x14ac:dyDescent="0.25">
      <c r="B65" t="s">
        <v>151</v>
      </c>
      <c r="C65" s="115"/>
    </row>
    <row r="66" spans="2:17" ht="30" hidden="1" x14ac:dyDescent="0.25">
      <c r="C66" s="170">
        <v>44948</v>
      </c>
      <c r="D66" s="100" t="s">
        <v>152</v>
      </c>
      <c r="E66" s="100" t="s">
        <v>153</v>
      </c>
      <c r="F66" s="100" t="s">
        <v>154</v>
      </c>
      <c r="G66" s="100" t="s">
        <v>39</v>
      </c>
      <c r="H66" s="100" t="s">
        <v>155</v>
      </c>
      <c r="I66" s="100" t="s">
        <v>156</v>
      </c>
      <c r="J66" s="100" t="s">
        <v>157</v>
      </c>
      <c r="K66" s="131" t="s">
        <v>158</v>
      </c>
      <c r="L66" s="171" t="s">
        <v>159</v>
      </c>
      <c r="M66" s="171" t="s">
        <v>160</v>
      </c>
      <c r="N66" s="171" t="s">
        <v>161</v>
      </c>
      <c r="O66" s="132" t="s">
        <v>162</v>
      </c>
      <c r="P66" s="172" t="s">
        <v>163</v>
      </c>
    </row>
    <row r="67" spans="2:17" hidden="1" x14ac:dyDescent="0.25">
      <c r="B67" s="173" t="s">
        <v>164</v>
      </c>
      <c r="C67">
        <v>35</v>
      </c>
      <c r="D67">
        <v>26</v>
      </c>
      <c r="E67">
        <v>29</v>
      </c>
      <c r="F67">
        <v>20</v>
      </c>
      <c r="G67">
        <v>18</v>
      </c>
      <c r="H67">
        <v>25</v>
      </c>
      <c r="I67">
        <v>16</v>
      </c>
      <c r="J67">
        <v>26</v>
      </c>
      <c r="K67" s="113">
        <v>26</v>
      </c>
      <c r="L67">
        <v>29</v>
      </c>
      <c r="M67">
        <v>30</v>
      </c>
      <c r="N67">
        <v>28</v>
      </c>
      <c r="O67" s="114">
        <f>AVERAGE(K67:N67)</f>
        <v>28.25</v>
      </c>
      <c r="P67" s="174">
        <v>22</v>
      </c>
      <c r="Q67" s="175">
        <f>(P67-O67)/O67</f>
        <v>-0.22123893805309736</v>
      </c>
    </row>
    <row r="68" spans="2:17" hidden="1" x14ac:dyDescent="0.25">
      <c r="B68" s="173" t="s">
        <v>165</v>
      </c>
      <c r="C68">
        <v>20</v>
      </c>
      <c r="D68">
        <v>23</v>
      </c>
      <c r="E68">
        <v>17</v>
      </c>
      <c r="F68">
        <v>19</v>
      </c>
      <c r="G68">
        <v>13</v>
      </c>
      <c r="H68">
        <v>15</v>
      </c>
      <c r="I68">
        <v>13</v>
      </c>
      <c r="J68">
        <v>18</v>
      </c>
      <c r="K68" s="113">
        <v>16</v>
      </c>
      <c r="L68">
        <v>22</v>
      </c>
      <c r="M68">
        <v>12</v>
      </c>
      <c r="N68">
        <v>12</v>
      </c>
      <c r="O68" s="114">
        <f t="shared" ref="O68:O73" si="4">AVERAGE(K68:N68)</f>
        <v>15.5</v>
      </c>
      <c r="P68" s="174">
        <v>9</v>
      </c>
      <c r="Q68" s="175">
        <f t="shared" ref="Q68:Q73" si="5">(P68-O68)/O68</f>
        <v>-0.41935483870967744</v>
      </c>
    </row>
    <row r="69" spans="2:17" hidden="1" x14ac:dyDescent="0.25">
      <c r="B69" s="173" t="s">
        <v>166</v>
      </c>
      <c r="C69">
        <v>26</v>
      </c>
      <c r="D69">
        <v>15</v>
      </c>
      <c r="E69">
        <v>17</v>
      </c>
      <c r="F69">
        <v>13</v>
      </c>
      <c r="G69">
        <v>19</v>
      </c>
      <c r="H69">
        <v>16</v>
      </c>
      <c r="I69">
        <v>14</v>
      </c>
      <c r="J69">
        <v>13</v>
      </c>
      <c r="K69" s="113">
        <v>9</v>
      </c>
      <c r="L69">
        <v>12</v>
      </c>
      <c r="M69">
        <v>9</v>
      </c>
      <c r="N69">
        <v>15</v>
      </c>
      <c r="O69" s="114">
        <f t="shared" si="4"/>
        <v>11.25</v>
      </c>
      <c r="P69" s="174">
        <v>14</v>
      </c>
      <c r="Q69" s="175">
        <f t="shared" si="5"/>
        <v>0.24444444444444444</v>
      </c>
    </row>
    <row r="70" spans="2:17" hidden="1" x14ac:dyDescent="0.25">
      <c r="B70" s="173" t="s">
        <v>167</v>
      </c>
      <c r="C70">
        <v>10</v>
      </c>
      <c r="D70">
        <v>19</v>
      </c>
      <c r="E70">
        <v>19</v>
      </c>
      <c r="F70">
        <v>16</v>
      </c>
      <c r="G70">
        <v>11</v>
      </c>
      <c r="H70">
        <v>15</v>
      </c>
      <c r="I70">
        <v>16</v>
      </c>
      <c r="J70">
        <v>14</v>
      </c>
      <c r="K70" s="113">
        <v>16</v>
      </c>
      <c r="L70">
        <v>11</v>
      </c>
      <c r="M70">
        <v>14</v>
      </c>
      <c r="N70">
        <v>9</v>
      </c>
      <c r="O70" s="114">
        <f t="shared" si="4"/>
        <v>12.5</v>
      </c>
      <c r="P70" s="174">
        <v>15</v>
      </c>
      <c r="Q70" s="175">
        <f t="shared" si="5"/>
        <v>0.2</v>
      </c>
    </row>
    <row r="71" spans="2:17" hidden="1" x14ac:dyDescent="0.25">
      <c r="B71" s="173" t="s">
        <v>168</v>
      </c>
      <c r="C71">
        <v>19</v>
      </c>
      <c r="D71">
        <v>15</v>
      </c>
      <c r="E71">
        <v>17</v>
      </c>
      <c r="F71">
        <v>20</v>
      </c>
      <c r="G71">
        <v>16</v>
      </c>
      <c r="H71">
        <v>13</v>
      </c>
      <c r="I71">
        <v>18</v>
      </c>
      <c r="J71">
        <v>17</v>
      </c>
      <c r="K71" s="113">
        <v>6</v>
      </c>
      <c r="L71">
        <v>2</v>
      </c>
      <c r="M71">
        <v>10</v>
      </c>
      <c r="N71">
        <v>7</v>
      </c>
      <c r="O71" s="114">
        <f t="shared" si="4"/>
        <v>6.25</v>
      </c>
      <c r="P71" s="174">
        <v>10</v>
      </c>
      <c r="Q71" s="175">
        <f t="shared" si="5"/>
        <v>0.6</v>
      </c>
    </row>
    <row r="72" spans="2:17" ht="18.75" hidden="1" customHeight="1" x14ac:dyDescent="0.25">
      <c r="B72" s="173" t="s">
        <v>169</v>
      </c>
      <c r="C72">
        <v>24</v>
      </c>
      <c r="D72">
        <v>23</v>
      </c>
      <c r="E72">
        <v>26</v>
      </c>
      <c r="F72">
        <v>19</v>
      </c>
      <c r="G72">
        <v>27</v>
      </c>
      <c r="H72">
        <v>33</v>
      </c>
      <c r="I72">
        <v>31</v>
      </c>
      <c r="J72">
        <v>14</v>
      </c>
      <c r="K72" s="113">
        <v>20</v>
      </c>
      <c r="L72">
        <v>22</v>
      </c>
      <c r="M72">
        <v>21</v>
      </c>
      <c r="N72">
        <v>21</v>
      </c>
      <c r="O72" s="114">
        <f t="shared" si="4"/>
        <v>21</v>
      </c>
      <c r="P72" s="174">
        <v>19</v>
      </c>
      <c r="Q72" s="175">
        <f t="shared" si="5"/>
        <v>-9.5238095238095233E-2</v>
      </c>
    </row>
    <row r="73" spans="2:17" ht="15.75" hidden="1" thickBot="1" x14ac:dyDescent="0.3">
      <c r="B73" s="173" t="s">
        <v>170</v>
      </c>
      <c r="C73">
        <f>ROUND(AVERAGE(C67:C72),0)</f>
        <v>22</v>
      </c>
      <c r="D73">
        <f t="shared" ref="D73:I73" si="6">ROUND(AVERAGE(D67:D72),0)</f>
        <v>20</v>
      </c>
      <c r="E73">
        <f t="shared" si="6"/>
        <v>21</v>
      </c>
      <c r="F73">
        <f t="shared" si="6"/>
        <v>18</v>
      </c>
      <c r="G73">
        <f t="shared" si="6"/>
        <v>17</v>
      </c>
      <c r="H73">
        <f t="shared" si="6"/>
        <v>20</v>
      </c>
      <c r="I73">
        <f t="shared" si="6"/>
        <v>18</v>
      </c>
      <c r="J73">
        <f>ROUND(AVERAGE(J67:J72),0)</f>
        <v>17</v>
      </c>
      <c r="K73" s="166">
        <f>ROUND(AVERAGE(K67:K72),0)</f>
        <v>16</v>
      </c>
      <c r="L73" s="167">
        <f>ROUND(AVERAGE(L67:L72),0)</f>
        <v>16</v>
      </c>
      <c r="M73" s="167">
        <f>ROUND(AVERAGE(M67:M72),0)</f>
        <v>16</v>
      </c>
      <c r="N73" s="167">
        <f>ROUND(AVERAGE(N67:N72),0)</f>
        <v>15</v>
      </c>
      <c r="O73" s="176">
        <f t="shared" si="4"/>
        <v>15.75</v>
      </c>
      <c r="P73" s="177">
        <f>AVERAGE(P67:P72)</f>
        <v>14.833333333333334</v>
      </c>
      <c r="Q73" s="178">
        <f t="shared" si="5"/>
        <v>-5.8201058201058163E-2</v>
      </c>
    </row>
    <row r="74" spans="2:17" hidden="1" x14ac:dyDescent="0.25"/>
    <row r="75" spans="2:17" hidden="1" x14ac:dyDescent="0.25">
      <c r="P75" s="141"/>
    </row>
    <row r="76" spans="2:17" hidden="1" x14ac:dyDescent="0.25"/>
    <row r="77" spans="2:17" hidden="1" x14ac:dyDescent="0.25">
      <c r="L77">
        <v>34</v>
      </c>
      <c r="M77">
        <v>14</v>
      </c>
      <c r="N77">
        <v>22</v>
      </c>
      <c r="O77">
        <v>21</v>
      </c>
      <c r="P77">
        <v>13</v>
      </c>
      <c r="Q77">
        <v>27</v>
      </c>
    </row>
    <row r="78" spans="2:17" hidden="1" x14ac:dyDescent="0.25">
      <c r="L78">
        <v>22</v>
      </c>
      <c r="M78">
        <v>9</v>
      </c>
      <c r="N78">
        <v>14</v>
      </c>
      <c r="O78">
        <v>15</v>
      </c>
      <c r="P78">
        <v>10</v>
      </c>
      <c r="Q78">
        <v>19</v>
      </c>
    </row>
    <row r="80" spans="2:17" x14ac:dyDescent="0.25">
      <c r="P80" s="179">
        <v>50</v>
      </c>
    </row>
    <row r="81" spans="16:16" x14ac:dyDescent="0.25">
      <c r="P81">
        <f>50/P69</f>
        <v>3.5714285714285716</v>
      </c>
    </row>
  </sheetData>
  <sheetProtection algorithmName="SHA-512" hashValue="WgKmNvdnKY1eXUJmXXCaeegCmNyrZDu3uU4N9ucMEM/bnHADZHafqAwpL1VRVf7DHfIfEeuIhANpe6jZAEqAhw==" saltValue="yewfZuYeyc7tGPTROrHroQ==" spinCount="100000" sheet="1" objects="1" scenarios="1" selectLockedCells="1"/>
  <mergeCells count="7">
    <mergeCell ref="G56:I56"/>
    <mergeCell ref="B3:D3"/>
    <mergeCell ref="B10:I11"/>
    <mergeCell ref="B41:I41"/>
    <mergeCell ref="F43:G43"/>
    <mergeCell ref="F44:G44"/>
    <mergeCell ref="G54:I55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604-B254-44A6-A231-72BFA21BE473}">
  <dimension ref="A2:L21"/>
  <sheetViews>
    <sheetView topLeftCell="A9" workbookViewId="0">
      <selection activeCell="H23" sqref="H23"/>
    </sheetView>
  </sheetViews>
  <sheetFormatPr defaultRowHeight="15" x14ac:dyDescent="0.25"/>
  <cols>
    <col min="4" max="4" width="12.140625" customWidth="1"/>
    <col min="5" max="5" width="27" customWidth="1"/>
    <col min="11" max="11" width="16.85546875" customWidth="1"/>
  </cols>
  <sheetData>
    <row r="2" spans="1:12" x14ac:dyDescent="0.25">
      <c r="A2" s="4"/>
      <c r="B2" s="4"/>
      <c r="C2" s="4"/>
      <c r="D2" s="4"/>
      <c r="E2" s="4"/>
      <c r="F2" s="4"/>
      <c r="G2" s="4"/>
    </row>
    <row r="3" spans="1:12" x14ac:dyDescent="0.25">
      <c r="A3" s="4"/>
      <c r="B3" s="4"/>
      <c r="C3" s="4"/>
      <c r="D3" s="4"/>
      <c r="E3" s="4"/>
      <c r="F3" s="4"/>
      <c r="G3" s="4"/>
    </row>
    <row r="4" spans="1:12" x14ac:dyDescent="0.25">
      <c r="A4" s="4"/>
      <c r="B4" s="4"/>
      <c r="C4" s="4"/>
      <c r="D4" s="4"/>
      <c r="E4" s="4"/>
      <c r="F4" s="4"/>
      <c r="G4" s="4"/>
    </row>
    <row r="5" spans="1:12" x14ac:dyDescent="0.25">
      <c r="A5" s="4"/>
      <c r="B5" s="4"/>
      <c r="C5" s="4"/>
      <c r="D5" s="4"/>
      <c r="E5" s="4"/>
      <c r="F5" s="4"/>
      <c r="G5" s="4"/>
      <c r="K5" t="s">
        <v>33</v>
      </c>
      <c r="L5" t="s">
        <v>34</v>
      </c>
    </row>
    <row r="6" spans="1:12" ht="21" x14ac:dyDescent="0.25">
      <c r="A6" s="71" t="s">
        <v>30</v>
      </c>
      <c r="B6" s="71"/>
      <c r="C6" s="71"/>
      <c r="D6" s="71"/>
      <c r="E6" s="71"/>
      <c r="F6" s="71"/>
      <c r="G6" s="71"/>
      <c r="K6" t="s">
        <v>35</v>
      </c>
      <c r="L6">
        <v>2023</v>
      </c>
    </row>
    <row r="7" spans="1:12" ht="21" x14ac:dyDescent="0.25">
      <c r="A7" s="71" t="s">
        <v>31</v>
      </c>
      <c r="B7" s="71"/>
      <c r="C7" s="71"/>
      <c r="D7" s="71"/>
      <c r="E7" s="71"/>
      <c r="F7" s="71"/>
      <c r="G7" s="71"/>
      <c r="K7" t="s">
        <v>36</v>
      </c>
      <c r="L7">
        <v>2024</v>
      </c>
    </row>
    <row r="8" spans="1:12" x14ac:dyDescent="0.25">
      <c r="A8" s="4" t="s">
        <v>32</v>
      </c>
      <c r="B8" s="4"/>
      <c r="C8" s="4"/>
      <c r="D8" s="4"/>
      <c r="E8" s="4"/>
      <c r="F8" s="4"/>
      <c r="G8" s="4"/>
      <c r="K8" t="s">
        <v>37</v>
      </c>
      <c r="L8">
        <v>2025</v>
      </c>
    </row>
    <row r="9" spans="1:12" x14ac:dyDescent="0.25">
      <c r="A9" s="4"/>
      <c r="B9" s="4"/>
      <c r="C9" s="4"/>
      <c r="D9" s="4"/>
      <c r="E9" s="4"/>
      <c r="F9" s="4"/>
      <c r="G9" s="4"/>
      <c r="K9" t="s">
        <v>38</v>
      </c>
      <c r="L9">
        <v>2026</v>
      </c>
    </row>
    <row r="10" spans="1:12" x14ac:dyDescent="0.25">
      <c r="K10" t="s">
        <v>39</v>
      </c>
      <c r="L10">
        <v>2027</v>
      </c>
    </row>
    <row r="11" spans="1:12" ht="21" x14ac:dyDescent="0.35">
      <c r="D11" s="1" t="s">
        <v>0</v>
      </c>
      <c r="E11" s="2" t="s">
        <v>1</v>
      </c>
      <c r="K11" t="s">
        <v>40</v>
      </c>
      <c r="L11">
        <v>2028</v>
      </c>
    </row>
    <row r="12" spans="1:12" ht="21" x14ac:dyDescent="0.35">
      <c r="D12" s="1" t="s">
        <v>13</v>
      </c>
      <c r="E12" s="3">
        <v>0</v>
      </c>
      <c r="K12" t="s">
        <v>41</v>
      </c>
      <c r="L12">
        <v>2029</v>
      </c>
    </row>
    <row r="13" spans="1:12" ht="21" x14ac:dyDescent="0.35">
      <c r="D13" s="1">
        <v>1</v>
      </c>
      <c r="E13" s="98">
        <v>10458.52</v>
      </c>
      <c r="K13" t="s">
        <v>42</v>
      </c>
      <c r="L13">
        <v>2030</v>
      </c>
    </row>
    <row r="14" spans="1:12" ht="21" x14ac:dyDescent="0.35">
      <c r="D14" s="1">
        <v>2</v>
      </c>
      <c r="E14" s="98">
        <v>10458.52</v>
      </c>
      <c r="K14" t="s">
        <v>43</v>
      </c>
      <c r="L14">
        <v>2031</v>
      </c>
    </row>
    <row r="15" spans="1:12" x14ac:dyDescent="0.25">
      <c r="D15" t="s">
        <v>14</v>
      </c>
      <c r="E15" s="99">
        <v>197.92</v>
      </c>
      <c r="K15" t="s">
        <v>44</v>
      </c>
      <c r="L15">
        <v>2032</v>
      </c>
    </row>
    <row r="16" spans="1:12" x14ac:dyDescent="0.25">
      <c r="K16" t="s">
        <v>45</v>
      </c>
      <c r="L16">
        <v>2033</v>
      </c>
    </row>
    <row r="17" spans="4:12" x14ac:dyDescent="0.25">
      <c r="K17" t="s">
        <v>46</v>
      </c>
      <c r="L17">
        <v>2034</v>
      </c>
    </row>
    <row r="20" spans="4:12" ht="25.5" x14ac:dyDescent="0.35">
      <c r="D20" s="72" t="s">
        <v>47</v>
      </c>
      <c r="E20" s="98">
        <v>10458.52</v>
      </c>
    </row>
    <row r="21" spans="4:12" x14ac:dyDescent="0.25">
      <c r="D21" t="s">
        <v>55</v>
      </c>
      <c r="E2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Billing Form</vt:lpstr>
      <vt:lpstr>Fee Table</vt:lpstr>
      <vt:lpstr>72 hour</vt:lpstr>
      <vt:lpstr>'Billing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Nownes, William C (DCYF)</cp:lastModifiedBy>
  <dcterms:created xsi:type="dcterms:W3CDTF">2023-06-28T19:18:10Z</dcterms:created>
  <dcterms:modified xsi:type="dcterms:W3CDTF">2025-03-26T18:42:38Z</dcterms:modified>
</cp:coreProperties>
</file>